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410" activeTab="0"/>
  </bookViews>
  <sheets>
    <sheet name="Смета по ТСН-2001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_xlnm.Print_Titles" localSheetId="0">'Смета по ТСН-2001'!$33:$33</definedName>
    <definedName name="_xlnm.Print_Area" localSheetId="0">'Смета по ТСН-2001'!$A$1:$K$83</definedName>
  </definedNames>
  <calcPr fullCalcOnLoad="1"/>
</workbook>
</file>

<file path=xl/sharedStrings.xml><?xml version="1.0" encoding="utf-8"?>
<sst xmlns="http://schemas.openxmlformats.org/spreadsheetml/2006/main" count="1223" uniqueCount="269">
  <si>
    <t>Smeta.ru  (495) 974-1589</t>
  </si>
  <si>
    <t>_PS_</t>
  </si>
  <si>
    <t>Новый объект</t>
  </si>
  <si>
    <t>№546 Фасад</t>
  </si>
  <si>
    <t/>
  </si>
  <si>
    <t>ТСН-2001</t>
  </si>
  <si>
    <t>Сметные нормы списания</t>
  </si>
  <si>
    <t>Коды ОКП для ТСН-2001</t>
  </si>
  <si>
    <t>ТСН 2001- Новое строительство</t>
  </si>
  <si>
    <t>Типовой расчет для ТСН-2001 (Строительство)</t>
  </si>
  <si>
    <t>Новая локальная смета</t>
  </si>
  <si>
    <t>{3E7C3F5D-B84B-4EEB-9B21-C97842E2674D}</t>
  </si>
  <si>
    <t>1</t>
  </si>
  <si>
    <t>3.15-159-1</t>
  </si>
  <si>
    <t>УСТРОЙСТВО ВЕНТИЛИРУЕМОГО ФАСАДА С ОБЛИЦОВКОЙ ПЛИТАМИ МАРМОРОК</t>
  </si>
  <si>
    <t>100 м2</t>
  </si>
  <si>
    <t>ТСН-2001.3. Доп.14. Сб.15, т.159, поз.1</t>
  </si>
  <si>
    <t>)*1,15</t>
  </si>
  <si>
    <t>Строительные работы</t>
  </si>
  <si>
    <t>ТСН-2001.3-15. 15-159, 15-160 (доп. 14)</t>
  </si>
  <si>
    <t>ТСН-2001.3-15-24</t>
  </si>
  <si>
    <t>1,1</t>
  </si>
  <si>
    <t>ЦЕНА ПОСТАВЩИКА</t>
  </si>
  <si>
    <t>ВЕНТИЛИРУЕМЫЙ ФАСАД "МАРМОРОК"</t>
  </si>
  <si>
    <t>м2</t>
  </si>
  <si>
    <t>/1,18</t>
  </si>
  <si>
    <t>4</t>
  </si>
  <si>
    <t>3.15-143-5</t>
  </si>
  <si>
    <t>ОБЛИЦОВКА ВЕРТИКАЛЬНЫХ ОТКОСОВ ОКОННЫХ И ДВЕРНЫХ ПРОЕМОВ ПЛИТАМИ  С УСТАНОВКОЙ СЛИВОВ И ВЕРХНЕГО ОТКОСА ИЗ ОЦИНКОВАННОЙ СТАЛИ ПО СИСТЕМЕ МАРМОРОК</t>
  </si>
  <si>
    <t>ТСН-2001.3. База. Сб.15, т.143, поз.5</t>
  </si>
  <si>
    <t>ТСН-2001.3-15. 15-142, 15-143</t>
  </si>
  <si>
    <t>ТСН-2001.3-15-14</t>
  </si>
  <si>
    <t>4,1</t>
  </si>
  <si>
    <t>5</t>
  </si>
  <si>
    <t>3.15-143-3</t>
  </si>
  <si>
    <t>МОНТАЖ НАВЕСНЫХ ВЕНТИЛИРУЕМЫХ ФАСАДОВ ВЫШЕ ЦОКОЛЯ БЕЗ УТЕПЛИТЕЛЯ ПО СИСТЕМЕ МАРМОРОК</t>
  </si>
  <si>
    <t>ТСН-2001.3. База. Сб.15, т.143, поз.3</t>
  </si>
  <si>
    <t>5,1</t>
  </si>
  <si>
    <t>ПЗ</t>
  </si>
  <si>
    <t>Прямые затраты</t>
  </si>
  <si>
    <t>СтМат</t>
  </si>
  <si>
    <t>Стоимость материальных ресурсов</t>
  </si>
  <si>
    <t>СтМатЗак</t>
  </si>
  <si>
    <t>Стоимость материалов заказчика</t>
  </si>
  <si>
    <t>Оборуд</t>
  </si>
  <si>
    <t>Стоимость оборудования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</si>
  <si>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</si>
  <si>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</si>
  <si>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</si>
  <si>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</si>
  <si>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</si>
  <si>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</si>
  <si>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</si>
  <si>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</si>
  <si>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</si>
  <si>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</si>
  <si>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</si>
  <si>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</si>
  <si>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</si>
  <si>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</si>
  <si>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</si>
  <si>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</si>
  <si>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</si>
  <si>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</si>
  <si>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Итого</t>
  </si>
  <si>
    <t>НДС</t>
  </si>
  <si>
    <t>НДС 18 %</t>
  </si>
  <si>
    <t>Всего</t>
  </si>
  <si>
    <t>9999990008</t>
  </si>
  <si>
    <t>ТРУДОЗАТРАТЫ РАБОЧИХ (ЭСН)</t>
  </si>
  <si>
    <t>чел.-ч.</t>
  </si>
  <si>
    <t>2.1-18-7</t>
  </si>
  <si>
    <t>ТСН-2001.2. База. п.1-18-7 (183001)</t>
  </si>
  <si>
    <t>АВТОМОБИЛИ ГРУЗОВЫЕ БОРТОВЫЕ, ГРУЗОПОДЪЕМНОСТЬ ДО 5 Т</t>
  </si>
  <si>
    <t>маш.-ч</t>
  </si>
  <si>
    <t>2.1-30-56</t>
  </si>
  <si>
    <t>ТСН-2001.2. База. п.1-30-56 (309101)</t>
  </si>
  <si>
    <t>ШУРУПОВЕРТЫ</t>
  </si>
  <si>
    <t>2.1-30-6</t>
  </si>
  <si>
    <t>ТСН-2001.2. База. п.1-30-6 (303701)</t>
  </si>
  <si>
    <t>ДРЕЛИ ЭЛЕКТРИЧЕСКИЕ</t>
  </si>
  <si>
    <t>2.1-30-75</t>
  </si>
  <si>
    <t>ТСН-2001.2. База. п.1-30-75 (370001)</t>
  </si>
  <si>
    <t>СТАНКИ ДЛЯ РЕЗКИ ПЛИТ</t>
  </si>
  <si>
    <t>2.1-30-78</t>
  </si>
  <si>
    <t>ТСН-2001.2. База. п.1-30-78 (304103)</t>
  </si>
  <si>
    <t>ПЕРФОРАТОРЫ, ФИРМА "HILTI"</t>
  </si>
  <si>
    <t>2.1-30-79</t>
  </si>
  <si>
    <t>ТСН-2001.2. База. п.1-30-79 (309301)</t>
  </si>
  <si>
    <t>МАШИНЫ ОТРЕЗНЫЕ, ФИРМА "НILTI"</t>
  </si>
  <si>
    <t>1.1-1-2149</t>
  </si>
  <si>
    <t>ТСН-2001.1. База. Р.1, о.1, поз.2149</t>
  </si>
  <si>
    <t>ПРОКЛАДКИ ПАРОНИТОВЫЕ ДЛЯ КРОНШТЕЙНОВ</t>
  </si>
  <si>
    <t>100 компл.</t>
  </si>
  <si>
    <t>1.1-1-3215</t>
  </si>
  <si>
    <t>ТСН-2001.1. Доп.14. Р.1, о.1, поз.3215</t>
  </si>
  <si>
    <t>ЗАКЛЕПКИ ИЗ НЕРЖАВЕЮЩЕЙ СТАЛИ ДЛЯ НАВЕСНЫХ ВЕНТИЛИРУЕМЫХ ФАСАДОВ, РАЗМЕР 4,0Х8,0 ММ</t>
  </si>
  <si>
    <t>100 шт.</t>
  </si>
  <si>
    <t>1.1-1-3217</t>
  </si>
  <si>
    <t>ТСН-2001.1. Доп.14. Р.1, о.1, поз.3217</t>
  </si>
  <si>
    <t>КЛЯММЕРЫ РЯДОВЫЕ ИЗ НЕРЖАВЕЮЩЕЙ СТАЛИ, ОКРАШЕННЫЕ, ДЛЯ НАВЕСНЫХ ВЕНТИЛИРУЕМЫХ ФАСАДОВ, МАРКА ОКР-2</t>
  </si>
  <si>
    <t>1.1-1-3219</t>
  </si>
  <si>
    <t>ТСН-2001.1. Доп.14. Р.1, о.1, поз.3219</t>
  </si>
  <si>
    <t>КЛЯММЕРЫ РЯДОВЫЕ ИЗ НЕРЖАВЕЮЩЕЙ СТАЛИ, ОКРАШЕННЫЕ, ДЛЯ НАВЕСНЫХ ВЕНТИЛИРУЕМЫХ ФАСАДОВ, МАРКА ОКР-4</t>
  </si>
  <si>
    <t>1.1-1-3220</t>
  </si>
  <si>
    <t>ТСН-2001.1. Доп.14. Р.1, о.1, поз.3220</t>
  </si>
  <si>
    <t>КЛЯММЕРЫ КОНЦЕВЫЕ ИЗ НЕРЖАВЕЮЩЕЙ СТАЛИ, ОКРАШЕННЫЕ, ДЛЯ НАВЕСНЫХ ВЕНТИЛИРУЕМЫХ ФАСАДОВ, МАРКА ОКК</t>
  </si>
  <si>
    <t>1.1-1-3221</t>
  </si>
  <si>
    <t>ТСН-2001.1. Доп.14. Р.1, о.1, поз.3221</t>
  </si>
  <si>
    <t>ПРИЖИМЫ ИЗ НЕРЖАВЕЮЩЕЙ СТАЛИ ДЛЯ НАВЕСНЫХ ВЕНТИЛИРУЕМЫХ ФАСАДОВ, МАРКА ПУ-1</t>
  </si>
  <si>
    <t>1.1-1-3222</t>
  </si>
  <si>
    <t>ТСН-2001.1. Доп.14. Р.1, о.1, поз.3222</t>
  </si>
  <si>
    <t>СКОБЫ ИЗ НЕРЖАВЕЮЩЕЙ СТАЛИ В ПРОФИЛИ НАПРАВЛЯЮЩИЕ, ДЛЯ НАВЕСНЫХ ВЕНТИЛИРУЕМЫХ ФАСАДОВ, МАРКА СК-1</t>
  </si>
  <si>
    <t>1.1-1-3224</t>
  </si>
  <si>
    <t>ТСН-2001.1. Доп.14. Р.1, о.1, поз.3224</t>
  </si>
  <si>
    <t>ШАЙБЫ ИЗ НЕРЖАВЕЮЩЕЙ СТАЛИ ДЛЯ НАВЕСНЫХ ВЕНТИЛИРУЕМЫХ ФАСАДОВ, МАРКА Ш-1</t>
  </si>
  <si>
    <t>1.1-1-3232</t>
  </si>
  <si>
    <t>ТСН-2001.1. Доп.14. Р.1, о.1, поз.3232</t>
  </si>
  <si>
    <t>ДЮБЕЛИ ФАСАДНЫЕ ПОЛИМЕРНЫЕ С ШУРУПОМ ИЗ НЕРЖАВЕЮЩЕЙ СТАЛИ С ШЕСТИГРАННОЙ ГОЛОВКОЙ, ДИАМЕТР 10 ММ, ДЛИНА 100 ММ</t>
  </si>
  <si>
    <t>1.7-1-67</t>
  </si>
  <si>
    <t>ТСН-2001.1. Доп.14. Р.7, о.1, поз.67</t>
  </si>
  <si>
    <t>ПЛАСТИНЫ ИЗ НЕРЖАВЕЮЩЕЙ СТАЛИ 1,2Х120 ММ, ДЛЯ НАВЕСНЫХ ВЕНТИЛИРУЕМЫХ ФАСАДОВ</t>
  </si>
  <si>
    <t>м</t>
  </si>
  <si>
    <t>1.7-1-70</t>
  </si>
  <si>
    <t>ТСН-2001.1. Доп.14. Р.7, о.1, поз.70</t>
  </si>
  <si>
    <t>ПРОФИЛИ НАПРАВЛЯЮЩИЕ ИЗ НЕРЖАВЕЮЩЕЙ СТАЛИ, ДЛЯ НАВЕСНЫХ ВЕНТИЛИРУЕМЫХ ФАСАДОВ, МАРКА ОН-1</t>
  </si>
  <si>
    <t>1.7-1-71</t>
  </si>
  <si>
    <t>ТСН-2001.1. Доп.14. Р.7, о.1, поз.71</t>
  </si>
  <si>
    <t>СТОЙКИ ИЗ НЕРЖАВЕЮЩЕЙ СТАЛИ, ДЛЯ НАВЕСНЫХ ВЕНТИЛИРУЕМЫХ ФАСАДОВ, МАРКА СТ-1</t>
  </si>
  <si>
    <t>1.7-3-53</t>
  </si>
  <si>
    <t>ТСН-2001.1. База. Р.7, о.3, поз.53</t>
  </si>
  <si>
    <t>БУРЫ С ПОБЕДИТОВЫМ НАКОНЕЧНИКОМ, ДИАМЕТР 10 ММ, ДЛИНА РАБОЧЕЙ ЧАСТИ 200 ММ, С ХВОСТОВИКОМ SDS (ФИРМА "HAWERA")</t>
  </si>
  <si>
    <t>шт.</t>
  </si>
  <si>
    <t>1121125000</t>
  </si>
  <si>
    <t>КРОНШТЕЙНЫ ИЗ НЕРЖАВЕЮЩЕЙ ИЛИ ОЦИНКОВАННОЙ СТАЛИ ДЛЯ НАВЕСНЫХ ВЕНТИЛИРУЕМЫХ ФАСАДОВ</t>
  </si>
  <si>
    <t>1121126000</t>
  </si>
  <si>
    <t>ВСТАВКИ ИЗ НЕРЖАВЕЮЩЕЙ ИЛИ ОЦИНКОВАННОЙ СТАЛИ ДЛЯ НАВЕСНЫХ ВЕНТИЛИРУЕМЫХ ФАСАДОВ</t>
  </si>
  <si>
    <t>5752421000</t>
  </si>
  <si>
    <t>ПЛИТЫ КЕРАМИЧЕСКИЕ ТИПА КЕРАМОГРАНИТ, РАЗМЕР 600Х600 ММ</t>
  </si>
  <si>
    <t>2.1-30-27</t>
  </si>
  <si>
    <t>ТСН-2001.2. База. п.1-30-27 (306101)</t>
  </si>
  <si>
    <t>ПИЛЫ ДИСКОВЫЕ ЭЛЕКТРИЧЕСКИЕ ДЛЯ РЕЗКИ ПИЛОМАТЕРИАЛОВ</t>
  </si>
  <si>
    <t>1.0-0-0</t>
  </si>
  <si>
    <t>СТОИМОСТЬ ПРОЧИХ МАТЕРИАЛОВ (ЭСН)</t>
  </si>
  <si>
    <t>руб.</t>
  </si>
  <si>
    <t>1.1-1-2150</t>
  </si>
  <si>
    <t>ТСН-2001.1. База. Р.1, о.1, поз.2150</t>
  </si>
  <si>
    <t>ВТУЛКИ СТАЛЬНЫЕ ДЛЯ ЗАКЛЕПОК ФАСАДНЫХ</t>
  </si>
  <si>
    <t>1.1-1-2152</t>
  </si>
  <si>
    <t>ТСН-2001.1. База. Р.1, о.1, поз.2152</t>
  </si>
  <si>
    <t>ЗАКЛЕПКИ СТАЛЬНЫЕ ОЦИНКОВАННЫЕ 4,8Х8 ММ ДЛЯ ВРЕМЕННОГО КРЕПЛЕНИЯ ПЛИТ НАВЕСНОГО ВЕНТИЛИРУЕМОГО ФАСАДА</t>
  </si>
  <si>
    <t>1.1-1-2153</t>
  </si>
  <si>
    <t>ТСН-2001.1. База. Р.1, о.1, поз.2153</t>
  </si>
  <si>
    <t>ЗАКЛЕПКИ СТАЛЬНЫЕ ОЦИНКОВАННЫЕ 4,8Х21 ММ С ОКРАШЕННОЙ ГОЛОВКОЙ, ФАСАДНЫЕ</t>
  </si>
  <si>
    <t>1.7-1-24</t>
  </si>
  <si>
    <t>ТСН-2001.1. База. Р.7, о.1, поз.24</t>
  </si>
  <si>
    <t>СЛИВЫ ОКОННЫЕ ИЗ ОЦИНКОВАННОЙ СТАЛИ, ОКРАШЕННЫЕ, ДЛЯ НАВЕСНЫХ ВЕНТИЛИРУЕМЫХ ФАСАДОВ, ТОЛЩИНА 0,5 ММ</t>
  </si>
  <si>
    <t>1.7-1-25</t>
  </si>
  <si>
    <t>ТСН-2001.1. База. Р.7, о.1, поз.25</t>
  </si>
  <si>
    <t>ОТКОСЫ ОКОННЫЕ (ВЕРХНИЕ) ИЗ ОЦИНКОВАННОЙ СТАЛИ, ОКРАШЕННЫЕ, ДЛЯ НАВЕСНЫХ ВЕНТИЛИРУЕМЫХ ФАСАДОВ, ТОЛЩИНА 0,5 ММ</t>
  </si>
  <si>
    <t>1.7-1-33</t>
  </si>
  <si>
    <t>ТСН-2001.1. База. Р.7, о.1, поз.33</t>
  </si>
  <si>
    <t>КРЕПИТЕЛИ ОТКОСА ОКНА ИЗ ОЦИНКОВАННОЙ СТАЛИ, ОКРАШЕННЫЕ, С ОСНАСТКОЙ, ДЛЯ НАВЕСНЫХ ВЕНТИЛИРУЕМЫХ ФАСАДОВ, МАРКА НК-5</t>
  </si>
  <si>
    <t>1.7-1-34</t>
  </si>
  <si>
    <t>ТСН-2001.1. База. Р.7, о.1, поз.34</t>
  </si>
  <si>
    <t>ПРОФИЛИ ОЦИНКОВАННЫЕ БОКОВОГО ОТКОСА ОКНА, ДЛЯ НАВЕСНЫХ ВЕНТИЛИРУЕМЫХ ФАСАДОВ</t>
  </si>
  <si>
    <t>5789520000</t>
  </si>
  <si>
    <t>ПЛИТЫ ОБЛИЦОВОЧНЫЕ «КРАСПАН»</t>
  </si>
  <si>
    <t>2.1-30-10</t>
  </si>
  <si>
    <t>ТСН-2001.2. База. п.1-30-10 (304101)</t>
  </si>
  <si>
    <t>ПЕРФОРАТОРЫ</t>
  </si>
  <si>
    <t>1.1-1-2147</t>
  </si>
  <si>
    <t>ТСН-2001.1. База. Р.1, о.1, поз.2147</t>
  </si>
  <si>
    <t>ЛЕНТА УПЛОТНИТЕЛЬНАЯ РЕЗИНОВАЯ ЕПДМ, ДЛЯ НАВЕСНЫХ ВЕНТИЛИРУЕМЫХ ФАСАДОВ, ТОЛЩИНА 36 ММ</t>
  </si>
  <si>
    <t>1.1-1-2148</t>
  </si>
  <si>
    <t>ТСН-2001.1. База. Р.1, о.1, поз.2148</t>
  </si>
  <si>
    <t>ЛЕНТА УПЛОТНИТЕЛЬНАЯ РЕЗИНОВАЯ ЕПДМ, ДЛЯ НАВЕСНЫХ ВЕНТИЛИРУЕМЫХ ФАСАДОВ, ТОЛЩИНА 60 ММ</t>
  </si>
  <si>
    <t>1.7-1-26</t>
  </si>
  <si>
    <t>ТСН-2001.1. База. Р.7, о.1, поз.26</t>
  </si>
  <si>
    <t>ПРОФИЛИ НЕСУЩИЕ ВЕРТИКАЛЬНЫЕ ИЗ ОЦИНКОВАННОЙ СТАЛИ, ОКРАШЕННЫЕ, ДЛЯ НАВЕСНЫХ ВЕНТИЛИРУЕМЫХ ФАСАДОВ, МАРКА НК-2</t>
  </si>
  <si>
    <t>1.7-1-27</t>
  </si>
  <si>
    <t>ТСН-2001.1. База. Р.7, о.1, поз.27</t>
  </si>
  <si>
    <t>ПРОФИЛИ ВЕРТИКАЛЬНЫЕ ИЗ ОЦИНКОВАННОЙ СТАЛИ, Z-ОБРАЗНЫЕ (ПОЛОВИННЫЕ), ОКРАШЕННЫЕ, ДЛЯ НАВЕСНЫХ ВЕНТИЛИРУЕМЫХ ФАСАДОВ, МАРКА НК-3</t>
  </si>
  <si>
    <t>1.7-1-28</t>
  </si>
  <si>
    <t>ТСН-2001.1. База. Р.7, о.1, поз.28</t>
  </si>
  <si>
    <t>ПРОФИЛИ НЕСУЩИЕ ГОРИЗОНТАЛЬНЫЕ ИЗ ОЦИНКОВАННОЙ СТАЛИ, ОКРАШЕННЫЕ, ДЛЯ НАВЕСНЫХ ВЕНТИЛИРУЕМЫХ ФАСАДОВ, МАРКА НК-4</t>
  </si>
  <si>
    <t>1.7-1-30</t>
  </si>
  <si>
    <t>ТСН-2001.1. База. Р.7, о.1, поз.30</t>
  </si>
  <si>
    <t>ЭЛЕМЕНТЫ ФАСОННЫЕ НАРУЖНОГО УГЛА ИЗ ОЦИНКОВАННОЙ СТАЛИ, ОКРАШЕННЫЕ, МАРКА ФР 1</t>
  </si>
  <si>
    <t>1.7-1-31</t>
  </si>
  <si>
    <t>ТСН-2001.1. База. Р.7, о.1, поз.31</t>
  </si>
  <si>
    <t>ЭЛЕМЕНТЫ ФАСОННЫЕ ВЕРТИКАЛЬНОГО ШВА ИЗ ОЦИНКОВАННОЙ СТАЛИ, ОКРАШЕННЫЕ, ДЛЯ НАВЕСНЫХ ВЕНТИЛИРУЕМЫХ ФАСАДОВ, МАРКА ФР 3</t>
  </si>
  <si>
    <t>1.7-1-32</t>
  </si>
  <si>
    <t>ТСН-2001.1. База. Р.7, о.1, поз.32</t>
  </si>
  <si>
    <t>ЭЛЕМЕНТЫ ФАСОННЫЕ ГОРИЗОНТАЛЬНОГО ШВА ИЗ ОЦИНКОВАННОЙ СТАЛИ, ОКРАШЕННЫЕ, ДЛЯ НАВЕСНЫХ ВЕНТИЛИРУЕМЫХ ФАСАДОВ, МАРКА ФР 4</t>
  </si>
  <si>
    <t>1.7-5-11</t>
  </si>
  <si>
    <t>ТСН-2001.1. База. Р.7, о.5, поз.11</t>
  </si>
  <si>
    <t>КРОНШТЕЙНЫ ИЗ ОЦИНКОВАННОЙ СТАЛИ, ОКРАШЕННЫЕ ДЛЯ КРЕПЛЕНИЯ ГОРИЗОНТАЛЬНЫХ ПЛАНОК НАВЕСНОГО ВЕНТИЛИРУЕМОГО ФАСАДА, МАРКА НК-1, L=200 ММ</t>
  </si>
  <si>
    <t>1.7-5-12</t>
  </si>
  <si>
    <t>ТСН-2001.1. База. Р.7, о.5, поз.12</t>
  </si>
  <si>
    <t>АНКЕР-БОЛТ ДЛЯ КРЕПЛЕНИЯ КРОНШТЕЙНОВ 10Х100 ММ</t>
  </si>
  <si>
    <t>1.7-5-13</t>
  </si>
  <si>
    <t>ТСН-2001.1. База. Р.7, о.5, поз.13</t>
  </si>
  <si>
    <t>ВИНТЫ САМОНАРЕЗАЮЩИЕ ОЦИНКОВАННЫЕ 4,8Х16 ММ ДЛЯ КРЕПЛЕНИЯ КАРКАСА</t>
  </si>
  <si>
    <t>Форма № 1а</t>
  </si>
  <si>
    <t>"СОГЛАСОВАНО"</t>
  </si>
  <si>
    <t>"УТВЕРЖДАЮ"</t>
  </si>
  <si>
    <t>"_____"________________200___ г.</t>
  </si>
  <si>
    <t>(Наименование стройки)</t>
  </si>
  <si>
    <t>(локальный сметный расчет)</t>
  </si>
  <si>
    <t xml:space="preserve">  на</t>
  </si>
  <si>
    <t>(наименование работ и затрат, наименование объекта)</t>
  </si>
  <si>
    <t>базовая</t>
  </si>
  <si>
    <t>текущая</t>
  </si>
  <si>
    <t>цена</t>
  </si>
  <si>
    <t>Сметная стоимость</t>
  </si>
  <si>
    <t>тыс.руб</t>
  </si>
  <si>
    <t>Составлен(а) в уровне текущих (прогнозных) цен на</t>
  </si>
  <si>
    <t>г.</t>
  </si>
  <si>
    <t>№</t>
  </si>
  <si>
    <t>п/п</t>
  </si>
  <si>
    <t>Шифр</t>
  </si>
  <si>
    <t>расценки</t>
  </si>
  <si>
    <t>и коды</t>
  </si>
  <si>
    <t>ресурсов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</si>
  <si>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</si>
  <si>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</si>
  <si>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</si>
  <si>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</si>
  <si>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</si>
  <si>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</si>
  <si>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</si>
  <si>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на ед.</t>
  </si>
  <si>
    <t>изм.</t>
  </si>
  <si>
    <t>Коэффициенты</t>
  </si>
  <si>
    <t>попра-</t>
  </si>
  <si>
    <t>вочные</t>
  </si>
  <si>
    <t>зимних</t>
  </si>
  <si>
    <t>удоро-</t>
  </si>
  <si>
    <t>жаний</t>
  </si>
  <si>
    <t>ВСЕГО</t>
  </si>
  <si>
    <t>в базисных</t>
  </si>
  <si>
    <t>ценах,</t>
  </si>
  <si>
    <t>Коэфф.</t>
  </si>
  <si>
    <t>пере-</t>
  </si>
  <si>
    <t>счета</t>
  </si>
  <si>
    <t>и нормы</t>
  </si>
  <si>
    <t>НР и СП</t>
  </si>
  <si>
    <t>в текущих</t>
  </si>
  <si>
    <t>(прогнозных)</t>
  </si>
  <si>
    <t>ценах, руб.</t>
  </si>
  <si>
    <t>ЗП</t>
  </si>
  <si>
    <t>ЭМ</t>
  </si>
  <si>
    <t>в т.ч. ЗПМ</t>
  </si>
  <si>
    <t>МР</t>
  </si>
  <si>
    <t>НР от ЗП</t>
  </si>
  <si>
    <t>%</t>
  </si>
  <si>
    <t>СП от ЗП</t>
  </si>
  <si>
    <t>НР и СП от ЗПМ</t>
  </si>
  <si>
    <t>ЗТР</t>
  </si>
  <si>
    <t>чел-ч</t>
  </si>
  <si>
    <t>Итого по локальной смете</t>
  </si>
  <si>
    <t>Составил</t>
  </si>
  <si>
    <t>[должность,подпись(инициалы,фамилия)]</t>
  </si>
  <si>
    <t>Проверил:</t>
  </si>
  <si>
    <t>ВСЕГО НА 1М2</t>
  </si>
  <si>
    <t>в том числе на 1м2 с НДС</t>
  </si>
  <si>
    <t>фасадные работы</t>
  </si>
  <si>
    <t>3,1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</si>
</sst>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\ #,##0.00"/>
    <numFmt numFmtId="173" formatCode="mmmm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u val="single"/>
      <sz val="14"/>
      <name val="Times New Roman"/>
      <family val="1"/>
    </font>
    <font>
      <i/>
      <sz val="9"/>
      <name val="Arial"/>
      <family val="2"/>
    </font>
    <font>
      <b/>
      <sz val="9"/>
      <name val="Arial"/>
      <family val="2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172" fontId="9" fillId="0" borderId="0" xfId="0" applyNumberFormat="1" applyFont="1" applyAlignment="1">
      <alignment/>
    </xf>
    <xf numFmtId="172" fontId="0" fillId="0" borderId="0" xfId="0" applyNumberFormat="1" applyAlignment="1">
      <alignment/>
    </xf>
    <xf numFmtId="17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12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172" fontId="9" fillId="0" borderId="0" xfId="0" applyNumberFormat="1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14" fillId="0" borderId="0" xfId="0" applyFont="1" applyAlignment="1">
      <alignment/>
    </xf>
    <xf numFmtId="0" fontId="7" fillId="33" borderId="0" xfId="0" applyFont="1" applyFill="1" applyAlignment="1">
      <alignment/>
    </xf>
    <xf numFmtId="172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172" fontId="1" fillId="33" borderId="0" xfId="0" applyNumberFormat="1" applyFont="1" applyFill="1" applyAlignment="1">
      <alignment horizontal="right"/>
    </xf>
    <xf numFmtId="172" fontId="13" fillId="33" borderId="0" xfId="0" applyNumberFormat="1" applyFont="1" applyFill="1" applyAlignment="1">
      <alignment horizontal="right"/>
    </xf>
    <xf numFmtId="172" fontId="1" fillId="0" borderId="0" xfId="0" applyNumberFormat="1" applyFont="1" applyAlignment="1">
      <alignment horizontal="right"/>
    </xf>
    <xf numFmtId="0" fontId="14" fillId="0" borderId="17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172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tabSelected="1" view="pageBreakPreview" zoomScaleNormal="207" zoomScaleSheetLayoutView="100" workbookViewId="0" topLeftCell="A1">
      <selection activeCell="H74" sqref="H74:I74"/>
    </sheetView>
  </sheetViews>
  <sheetFormatPr defaultColWidth="9.140625" defaultRowHeight="12.75"/>
  <cols>
    <col min="1" max="1" width="4.7109375" style="0" customWidth="1"/>
    <col min="2" max="2" width="12.28125" style="0" customWidth="1"/>
    <col min="3" max="3" width="30.7109375" style="0" customWidth="1"/>
    <col min="4" max="4" width="10.7109375" style="0" customWidth="1"/>
    <col min="7" max="7" width="9.7109375" style="0" customWidth="1"/>
    <col min="8" max="9" width="10.7109375" style="0" customWidth="1"/>
    <col min="10" max="10" width="9.7109375" style="0" customWidth="1"/>
    <col min="11" max="11" width="10.7109375" style="0" customWidth="1"/>
    <col min="12" max="26" width="0" style="0" hidden="1" customWidth="1"/>
    <col min="27" max="27" width="120.140625" style="0" hidden="1" customWidth="1"/>
    <col min="28" max="28" width="0" style="0" hidden="1" customWidth="1"/>
  </cols>
  <sheetData>
    <row r="1" s="4" customFormat="1" ht="11.25">
      <c r="A1" s="4" t="str">
        <f>CONCATENATE(Source!B1,"     ТСН-2001 (© ОАО МЦЦС 'Мосстройцены', 2006)")</f>
        <v>Smeta.ru  (495) 974-1589     ТСН-2001 (© ОАО МЦЦС 'Мосстройцены', 2006)</v>
      </c>
    </row>
    <row r="2" s="4" customFormat="1" ht="11.25">
      <c r="K2" s="4" t="s">
        <v>204</v>
      </c>
    </row>
    <row r="3" spans="1:9" s="5" customFormat="1" ht="15">
      <c r="A3" s="5" t="s">
        <v>205</v>
      </c>
      <c r="F3" s="58" t="s">
        <v>206</v>
      </c>
      <c r="G3" s="58"/>
      <c r="H3" s="58"/>
      <c r="I3" s="58"/>
    </row>
    <row r="5" spans="1:11" ht="12.75">
      <c r="A5" s="59">
        <f>Source!AS12</f>
      </c>
      <c r="B5" s="59"/>
      <c r="C5" s="59">
        <f>Source!CH12</f>
      </c>
      <c r="D5" s="59"/>
      <c r="E5" s="7"/>
      <c r="F5" s="59">
        <f>Source!AR12</f>
      </c>
      <c r="G5" s="59"/>
      <c r="H5" s="59"/>
      <c r="I5" s="59">
        <f>Source!CG12</f>
      </c>
      <c r="J5" s="59"/>
      <c r="K5" s="59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8"/>
      <c r="B7" s="8"/>
      <c r="C7" s="59">
        <f>Source!M12</f>
      </c>
      <c r="D7" s="59"/>
      <c r="E7" s="7"/>
      <c r="F7" s="8"/>
      <c r="G7" s="8"/>
      <c r="H7" s="59">
        <f>Source!L12</f>
      </c>
      <c r="I7" s="59"/>
      <c r="J7" s="59"/>
      <c r="K7" s="59"/>
    </row>
    <row r="8" spans="1:1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6" s="5" customFormat="1" ht="15">
      <c r="A9" s="5" t="s">
        <v>207</v>
      </c>
      <c r="F9" s="5" t="s">
        <v>207</v>
      </c>
    </row>
    <row r="12" spans="1:27" ht="12.75">
      <c r="A12" s="60" t="str">
        <f>IF(Source!G4&lt;&gt;"",Source!G4,IF(Source!F4&lt;&gt;"",Source!F4,IF(Source!G5&lt;&gt;"",Source!G5,IF(Source!F5&lt;&gt;"",Source!F5,IF(Source!G6&lt;&gt;"",Source!G6,IF(Source!F6&lt;&gt;"",Source!F6," "))))))</f>
        <v> 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AA12" s="10" t="str">
        <f>IF(Source!G4&lt;&gt;"",Source!G4,IF(Source!F4&lt;&gt;"",Source!F4,IF(Source!G5&lt;&gt;"",Source!G5,IF(Source!F5&lt;&gt;"",Source!F5,IF(Source!G6&lt;&gt;"",Source!G6,IF(Source!F6&lt;&gt;"",Source!F6," "))))))</f>
        <v> </v>
      </c>
    </row>
    <row r="13" spans="1:11" ht="12.75">
      <c r="A13" s="61" t="s">
        <v>208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5" spans="1:27" ht="15">
      <c r="A15" s="63" t="str">
        <f>CONCATENATE("ЛОКАЛЬНАЯ СМЕТА №  1")</f>
        <v>ЛОКАЛЬНАЯ СМЕТА №  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AA15" s="11" t="str">
        <f>CONCATENATE("ЛОКАЛЬНАЯ СМЕТА №  ",Source!F20)</f>
        <v>ЛОКАЛЬНАЯ СМЕТА №  Новая локальная смета</v>
      </c>
    </row>
    <row r="16" spans="1:11" ht="12.75">
      <c r="A16" s="52" t="s">
        <v>209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</row>
    <row r="18" spans="1:27" ht="18.75">
      <c r="A18" s="4" t="s">
        <v>210</v>
      </c>
      <c r="B18" s="57" t="s">
        <v>267</v>
      </c>
      <c r="C18" s="57"/>
      <c r="D18" s="57"/>
      <c r="E18" s="57"/>
      <c r="F18" s="57"/>
      <c r="G18" s="57"/>
      <c r="H18" s="57"/>
      <c r="I18" s="57"/>
      <c r="J18" s="57"/>
      <c r="K18" s="57"/>
      <c r="AA18" s="12" t="str">
        <f>IF(Source!G12&lt;&gt;"",Source!G12,Source!F12)</f>
        <v>№546 Фасад</v>
      </c>
    </row>
    <row r="19" spans="2:11" ht="12.75">
      <c r="B19" s="52" t="s">
        <v>211</v>
      </c>
      <c r="C19" s="53"/>
      <c r="D19" s="53"/>
      <c r="E19" s="53"/>
      <c r="F19" s="53"/>
      <c r="G19" s="53"/>
      <c r="H19" s="53"/>
      <c r="I19" s="53"/>
      <c r="J19" s="53"/>
      <c r="K19" s="53"/>
    </row>
    <row r="21" spans="1:27" ht="12.75">
      <c r="A21" s="49" t="str">
        <f>CONCATENATE("Основание: чертежи № ",Source!J20)</f>
        <v>Основание: чертежи № 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AA21" s="13" t="str">
        <f>CONCATENATE("Основание: чертежи № ",Source!J20)</f>
        <v>Основание: чертежи № </v>
      </c>
    </row>
    <row r="23" spans="9:10" ht="12.75">
      <c r="I23" s="14" t="s">
        <v>212</v>
      </c>
      <c r="J23" s="14" t="s">
        <v>213</v>
      </c>
    </row>
    <row r="24" spans="9:10" ht="12.75">
      <c r="I24" s="14" t="s">
        <v>214</v>
      </c>
      <c r="J24" s="14" t="s">
        <v>214</v>
      </c>
    </row>
    <row r="25" spans="7:11" ht="12.75">
      <c r="G25" s="39" t="s">
        <v>215</v>
      </c>
      <c r="H25" s="39"/>
      <c r="I25" s="40">
        <f>H74/1000</f>
        <v>0</v>
      </c>
      <c r="J25" s="40">
        <f>(Source!O22+Source!X22+Source!Y22+Source!R22*178/100)/1000</f>
        <v>277.89642100000003</v>
      </c>
      <c r="K25" s="41" t="s">
        <v>216</v>
      </c>
    </row>
    <row r="26" spans="7:11" ht="12.75" hidden="1">
      <c r="G26" s="39" t="s">
        <v>266</v>
      </c>
      <c r="H26" s="42"/>
      <c r="I26" s="40">
        <f>L74/1000</f>
        <v>3.66763</v>
      </c>
      <c r="J26" s="40">
        <f>J74/1000</f>
        <v>6.4146670579029745</v>
      </c>
      <c r="K26" s="41" t="s">
        <v>216</v>
      </c>
    </row>
    <row r="27" spans="1:6" ht="12.75">
      <c r="A27" s="4" t="s">
        <v>217</v>
      </c>
      <c r="B27" s="4"/>
      <c r="C27" s="4"/>
      <c r="D27" s="17">
        <f>IF(AND(Source!P12&lt;&gt;0,Source!Q12&lt;&gt;0),DATE(Source!P12,Source!Q12,1),IF(Source!AF12=0,"",IF(Source!AN12=0,"",DATE(Source!AF12,Source!AN12,1))))</f>
        <v>40817</v>
      </c>
      <c r="E27" s="18">
        <f>IF(AND(Source!P12&lt;&gt;0,Source!Q12&lt;&gt;0),Source!P12,IF(Source!AF12=0,"",Source!AF12))</f>
        <v>2011</v>
      </c>
      <c r="F27" s="4" t="s">
        <v>218</v>
      </c>
    </row>
    <row r="28" spans="1:25" ht="12.75">
      <c r="A28" s="23"/>
      <c r="B28" s="23"/>
      <c r="C28" s="23"/>
      <c r="D28" s="23"/>
      <c r="E28" s="23"/>
      <c r="F28" s="22" t="s">
        <v>231</v>
      </c>
      <c r="G28" s="54" t="s">
        <v>234</v>
      </c>
      <c r="H28" s="55"/>
      <c r="I28" s="22" t="s">
        <v>240</v>
      </c>
      <c r="J28" s="22" t="s">
        <v>243</v>
      </c>
      <c r="K28" s="21" t="s">
        <v>240</v>
      </c>
      <c r="Y28">
        <v>-1</v>
      </c>
    </row>
    <row r="29" spans="1:11" ht="12.75">
      <c r="A29" s="20" t="s">
        <v>219</v>
      </c>
      <c r="B29" s="20" t="s">
        <v>221</v>
      </c>
      <c r="C29" s="24"/>
      <c r="D29" s="20" t="s">
        <v>226</v>
      </c>
      <c r="E29" s="20" t="s">
        <v>229</v>
      </c>
      <c r="F29" s="20" t="s">
        <v>232</v>
      </c>
      <c r="G29" s="22"/>
      <c r="H29" s="22" t="s">
        <v>237</v>
      </c>
      <c r="I29" s="20" t="s">
        <v>241</v>
      </c>
      <c r="J29" s="20" t="s">
        <v>244</v>
      </c>
      <c r="K29" s="19" t="s">
        <v>248</v>
      </c>
    </row>
    <row r="30" spans="1:11" ht="12.75">
      <c r="A30" s="20" t="s">
        <v>220</v>
      </c>
      <c r="B30" s="20" t="s">
        <v>222</v>
      </c>
      <c r="C30" s="20" t="s">
        <v>225</v>
      </c>
      <c r="D30" s="20" t="s">
        <v>227</v>
      </c>
      <c r="E30" s="20" t="s">
        <v>230</v>
      </c>
      <c r="F30" s="20" t="s">
        <v>233</v>
      </c>
      <c r="G30" s="20" t="s">
        <v>235</v>
      </c>
      <c r="H30" s="20" t="s">
        <v>238</v>
      </c>
      <c r="I30" s="20" t="s">
        <v>242</v>
      </c>
      <c r="J30" s="20" t="s">
        <v>245</v>
      </c>
      <c r="K30" s="25" t="s">
        <v>249</v>
      </c>
    </row>
    <row r="31" spans="1:11" ht="12.75">
      <c r="A31" s="24"/>
      <c r="B31" s="20" t="s">
        <v>223</v>
      </c>
      <c r="C31" s="24"/>
      <c r="D31" s="20" t="s">
        <v>228</v>
      </c>
      <c r="E31" s="24"/>
      <c r="F31" s="20" t="s">
        <v>144</v>
      </c>
      <c r="G31" s="20" t="s">
        <v>236</v>
      </c>
      <c r="H31" s="20" t="s">
        <v>239</v>
      </c>
      <c r="I31" s="20" t="s">
        <v>144</v>
      </c>
      <c r="J31" s="20" t="s">
        <v>246</v>
      </c>
      <c r="K31" s="19" t="s">
        <v>250</v>
      </c>
    </row>
    <row r="32" spans="1:11" ht="12.75">
      <c r="A32" s="24"/>
      <c r="B32" s="20" t="s">
        <v>224</v>
      </c>
      <c r="C32" s="24"/>
      <c r="D32" s="24"/>
      <c r="E32" s="24"/>
      <c r="F32" s="24"/>
      <c r="G32" s="20"/>
      <c r="H32" s="20"/>
      <c r="I32" s="20"/>
      <c r="J32" s="20" t="s">
        <v>247</v>
      </c>
      <c r="K32" s="19"/>
    </row>
    <row r="33" spans="1:11" ht="12.75">
      <c r="A33" s="26">
        <v>1</v>
      </c>
      <c r="B33" s="26">
        <v>2</v>
      </c>
      <c r="C33" s="26">
        <v>3</v>
      </c>
      <c r="D33" s="26">
        <v>4</v>
      </c>
      <c r="E33" s="26">
        <v>5</v>
      </c>
      <c r="F33" s="26">
        <v>6</v>
      </c>
      <c r="G33" s="26">
        <v>7</v>
      </c>
      <c r="H33" s="26">
        <v>8</v>
      </c>
      <c r="I33" s="26">
        <v>9</v>
      </c>
      <c r="J33" s="26">
        <v>10</v>
      </c>
      <c r="K33" s="27">
        <v>11</v>
      </c>
    </row>
    <row r="34" spans="1:25" ht="36">
      <c r="A34" s="28" t="str">
        <f>Source!E24</f>
        <v>1</v>
      </c>
      <c r="B34" s="28" t="str">
        <f>Source!F24</f>
        <v>3.15-159-1</v>
      </c>
      <c r="C34" s="13" t="str">
        <f>Source!G24</f>
        <v>УСТРОЙСТВО ВЕНТИЛИРУЕМОГО ФАСАДА С ОБЛИЦОВКОЙ ПЛИТАМИ МАРМОРОК</v>
      </c>
      <c r="D34" s="29" t="str">
        <f>Source!H24</f>
        <v>100 м2</v>
      </c>
      <c r="E34" s="6">
        <f>ROUND(Source!I24,6)</f>
        <v>0.171</v>
      </c>
      <c r="F34" s="6"/>
      <c r="G34" s="6"/>
      <c r="H34" s="6"/>
      <c r="I34" s="6"/>
      <c r="J34" s="6"/>
      <c r="K34" s="6"/>
      <c r="Y34">
        <v>1</v>
      </c>
    </row>
    <row r="35" spans="1:11" ht="12.75">
      <c r="A35" s="6"/>
      <c r="B35" s="6"/>
      <c r="C35" s="6" t="s">
        <v>251</v>
      </c>
      <c r="D35" s="6"/>
      <c r="E35" s="6"/>
      <c r="F35" s="15">
        <f>Source!AO24</f>
        <v>3576.97</v>
      </c>
      <c r="G35" s="30" t="str">
        <f>Source!DG24</f>
        <v>)*1,15</v>
      </c>
      <c r="H35" s="6">
        <f>Source!AV24</f>
        <v>1.047</v>
      </c>
      <c r="I35" s="15">
        <f>ROUND((Source!CT24/IF(Source!BA24&lt;&gt;0,Source!BA24,1)*Source!I24),2)</f>
        <v>736.47</v>
      </c>
      <c r="J35" s="6">
        <f>Source!BA24</f>
        <v>12.7</v>
      </c>
      <c r="K35" s="15">
        <f>Source!S24</f>
        <v>9353.19</v>
      </c>
    </row>
    <row r="36" spans="1:11" ht="12.75">
      <c r="A36" s="6"/>
      <c r="B36" s="6"/>
      <c r="C36" s="6" t="s">
        <v>252</v>
      </c>
      <c r="D36" s="6"/>
      <c r="E36" s="6"/>
      <c r="F36" s="15">
        <f>Source!AM24</f>
        <v>351.27</v>
      </c>
      <c r="G36" s="30" t="str">
        <f>Source!DE24</f>
        <v>)*1,15</v>
      </c>
      <c r="H36" s="6">
        <f>Source!AV24</f>
        <v>1.047</v>
      </c>
      <c r="I36" s="15">
        <f>ROUND((Source!CR24/IF(Source!BB24&lt;&gt;0,Source!BB24,1)*Source!I24),2)</f>
        <v>72.32</v>
      </c>
      <c r="J36" s="6">
        <f>Source!BB24</f>
        <v>7.7</v>
      </c>
      <c r="K36" s="15">
        <f>Source!Q24</f>
        <v>556.89</v>
      </c>
    </row>
    <row r="37" spans="1:12" ht="12.75">
      <c r="A37" s="6"/>
      <c r="B37" s="6"/>
      <c r="C37" s="6" t="s">
        <v>253</v>
      </c>
      <c r="D37" s="6"/>
      <c r="E37" s="6"/>
      <c r="F37" s="15">
        <f>Source!AN24</f>
        <v>90.6</v>
      </c>
      <c r="G37" s="30" t="str">
        <f>Source!DF24</f>
        <v>)*1,15</v>
      </c>
      <c r="H37" s="6">
        <f>Source!AV24</f>
        <v>1.047</v>
      </c>
      <c r="I37" s="31" t="str">
        <f>CONCATENATE("(",TEXT(+ROUND((Source!CS24/IF(J37&lt;&gt;0,J37,1)*Source!I24),2),"0,00"),")")</f>
        <v>(18,65)</v>
      </c>
      <c r="J37" s="6">
        <f>Source!BS24</f>
        <v>12.7</v>
      </c>
      <c r="K37" s="31" t="str">
        <f>CONCATENATE("(",TEXT(+Source!R24,"0,00"),")")</f>
        <v>(236,90)</v>
      </c>
      <c r="L37">
        <f>ROUND(IF(J37&lt;&gt;0,Source!R24/J37,Source!R24),2)</f>
        <v>18.65</v>
      </c>
    </row>
    <row r="38" spans="1:11" ht="12.75">
      <c r="A38" s="6"/>
      <c r="B38" s="6"/>
      <c r="C38" s="6" t="s">
        <v>254</v>
      </c>
      <c r="D38" s="6"/>
      <c r="E38" s="6"/>
      <c r="F38" s="15">
        <f>Source!AL24</f>
        <v>26903.9</v>
      </c>
      <c r="G38" s="6">
        <f>Source!DD24</f>
      </c>
      <c r="H38" s="6">
        <f>Source!AW24</f>
        <v>1.003</v>
      </c>
      <c r="I38" s="15">
        <f>ROUND((Source!CQ24/IF(Source!BC24&lt;&gt;0,Source!BC24,1)*Source!I24),2)</f>
        <v>4614.37</v>
      </c>
      <c r="J38" s="6">
        <f>Source!BC24</f>
        <v>3.01</v>
      </c>
      <c r="K38" s="15">
        <f>Source!P24</f>
        <v>13889.25</v>
      </c>
    </row>
    <row r="39" spans="1:25" ht="36">
      <c r="A39" s="28" t="str">
        <f>Source!E25</f>
        <v>1,1</v>
      </c>
      <c r="B39" s="28" t="str">
        <f>Source!F25</f>
        <v>ЦЕНА ПОСТАВЩИКА</v>
      </c>
      <c r="C39" s="13" t="str">
        <f>Source!G25</f>
        <v>ВЕНТИЛИРУЕМЫЙ ФАСАД "МАРМОРОК"</v>
      </c>
      <c r="D39" s="29" t="str">
        <f>Source!H25</f>
        <v>м2</v>
      </c>
      <c r="E39" s="6">
        <f>ROUND(Source!I25,6)</f>
        <v>17.1</v>
      </c>
      <c r="F39" s="15">
        <f>IF(Source!AL25=0,Source!AK25,Source!AL25)</f>
        <v>1800</v>
      </c>
      <c r="G39" s="30" t="str">
        <f>Source!DD25</f>
        <v>/1,18</v>
      </c>
      <c r="H39" s="6">
        <f>Source!AW25</f>
        <v>1.003</v>
      </c>
      <c r="I39" s="15">
        <f>ROUND((Source!CR25/IF(Source!BB25&lt;&gt;0,Source!BB25,1)*Source!I25),2)+ROUND((Source!CQ25/IF(Source!BC25&lt;&gt;0,Source!BC25,1)*Source!I25),2)+ROUND((Source!CT25/IF(Source!BA25&lt;&gt;0,Source!BA25,1)*Source!I25),2)</f>
        <v>26163</v>
      </c>
      <c r="J39" s="6">
        <f>Source!BC25</f>
        <v>1</v>
      </c>
      <c r="K39" s="15">
        <f>Source!O25</f>
        <v>26163</v>
      </c>
      <c r="O39">
        <f>IF(Source!BI25=1,(ROUND((Source!CR25/IF(Source!BB25&lt;&gt;0,Source!BB25,1)*Source!I25),2)+ROUND((Source!CQ25/IF(Source!BC25&lt;&gt;0,Source!BC25,1)*Source!I25),2)+ROUND((Source!CT25/IF(Source!BA25&lt;&gt;0,Source!BA25,1)*Source!I25),2)),0)</f>
        <v>26163</v>
      </c>
      <c r="P39">
        <f>IF(Source!BI25=2,(ROUND((Source!CR25/IF(Source!BB25&lt;&gt;0,Source!BB25,1)*Source!I25),2)+ROUND((Source!CQ25/IF(Source!BC25&lt;&gt;0,Source!BC25,1)*Source!I25),2)+ROUND((Source!CT25/IF(Source!BA25&lt;&gt;0,Source!BA25,1)*Source!I25),2)),0)</f>
        <v>0</v>
      </c>
      <c r="Q39">
        <f>IF(Source!BI25=3,(ROUND((Source!CR25/IF(Source!BB25&lt;&gt;0,Source!BB25,1)*Source!I25),2)+ROUND((Source!CQ25/IF(Source!BC25&lt;&gt;0,Source!BC25,1)*Source!I25),2)+ROUND((Source!CT25/IF(Source!BA25&lt;&gt;0,Source!BA25,1)*Source!I25),2)),0)</f>
        <v>0</v>
      </c>
      <c r="R39">
        <f>IF(Source!BI25=4,(ROUND((Source!CR25/IF(Source!BB25&lt;&gt;0,Source!BB25,1)*Source!I25),2)+ROUND((Source!CQ25/IF(Source!BC25&lt;&gt;0,Source!BC25,1)*Source!I25),2)+ROUND((Source!CT25/IF(Source!BA25&lt;&gt;0,Source!BA25,1)*Source!I25),2)),0)</f>
        <v>0</v>
      </c>
      <c r="U39">
        <f>IF(Source!BI25=1,Source!O25+Source!X25+Source!Y25,0)</f>
        <v>26163</v>
      </c>
      <c r="V39">
        <f>IF(Source!BI25=2,Source!O25+Source!X25+Source!Y25,0)</f>
        <v>0</v>
      </c>
      <c r="W39">
        <f>IF(Source!BI25=3,Source!O25+Source!X25+Source!Y25,0)</f>
        <v>0</v>
      </c>
      <c r="X39">
        <f>IF(Source!BI25=4,Source!O25+Source!X25+Source!Y25,0)</f>
        <v>0</v>
      </c>
      <c r="Y39">
        <v>2</v>
      </c>
    </row>
    <row r="40" spans="1:11" ht="12.75">
      <c r="A40" s="6"/>
      <c r="B40" s="6"/>
      <c r="C40" s="6" t="s">
        <v>255</v>
      </c>
      <c r="D40" s="6" t="s">
        <v>256</v>
      </c>
      <c r="E40" s="6">
        <f>Source!DN24</f>
        <v>120</v>
      </c>
      <c r="F40" s="6"/>
      <c r="G40" s="6"/>
      <c r="H40" s="6"/>
      <c r="I40" s="15">
        <f>ROUND((E40/100)*ROUND((Source!CT24/IF(Source!BA24&lt;&gt;0,Source!BA24,1)*Source!I24),2),2)</f>
        <v>883.76</v>
      </c>
      <c r="J40" s="6">
        <f>Source!AT24</f>
        <v>102</v>
      </c>
      <c r="K40" s="15">
        <f>Source!X24</f>
        <v>9540.25</v>
      </c>
    </row>
    <row r="41" spans="1:11" ht="12.75">
      <c r="A41" s="6"/>
      <c r="B41" s="6"/>
      <c r="C41" s="6" t="s">
        <v>257</v>
      </c>
      <c r="D41" s="6" t="s">
        <v>256</v>
      </c>
      <c r="E41" s="6">
        <f>Source!DO24</f>
        <v>84</v>
      </c>
      <c r="F41" s="6"/>
      <c r="G41" s="6"/>
      <c r="H41" s="6"/>
      <c r="I41" s="15">
        <f>ROUND((E41/100)*ROUND((Source!CT24/IF(Source!BA24&lt;&gt;0,Source!BA24,1)*Source!I24),2),2)</f>
        <v>618.63</v>
      </c>
      <c r="J41" s="6">
        <f>Source!AU24</f>
        <v>45</v>
      </c>
      <c r="K41" s="15">
        <f>Source!Y24</f>
        <v>4208.94</v>
      </c>
    </row>
    <row r="42" spans="1:11" ht="12.75">
      <c r="A42" s="6"/>
      <c r="B42" s="6"/>
      <c r="C42" s="6" t="s">
        <v>258</v>
      </c>
      <c r="D42" s="6" t="s">
        <v>256</v>
      </c>
      <c r="E42" s="6">
        <v>175</v>
      </c>
      <c r="F42" s="6"/>
      <c r="G42" s="6"/>
      <c r="H42" s="6"/>
      <c r="I42" s="15">
        <f>ROUND(ROUND((Source!CS24/IF(Source!BS24&lt;&gt;0,Source!BS24,1)*Source!I24),2)*1.75,2)</f>
        <v>32.64</v>
      </c>
      <c r="J42" s="6">
        <v>178</v>
      </c>
      <c r="K42" s="15">
        <f>ROUND(Source!R24*J42/100,2)</f>
        <v>421.68</v>
      </c>
    </row>
    <row r="43" spans="1:11" ht="12.75">
      <c r="A43" s="32"/>
      <c r="B43" s="32"/>
      <c r="C43" s="32" t="s">
        <v>259</v>
      </c>
      <c r="D43" s="32" t="s">
        <v>260</v>
      </c>
      <c r="E43" s="32">
        <f>Source!AQ24</f>
        <v>265.64</v>
      </c>
      <c r="F43" s="32"/>
      <c r="G43" s="33" t="str">
        <f>Source!DI24</f>
        <v>)*1,15</v>
      </c>
      <c r="H43" s="32">
        <f>Source!AV24</f>
        <v>1.047</v>
      </c>
      <c r="I43" s="34">
        <f>ROUND(Source!U24,2)</f>
        <v>54.69</v>
      </c>
      <c r="J43" s="32"/>
      <c r="K43" s="32"/>
    </row>
    <row r="44" spans="9:24" ht="12.75">
      <c r="I44" s="35">
        <f>ROUND((Source!CT24/IF(Source!BA24&lt;&gt;0,Source!BA24,1)*Source!I24),2)+ROUND((Source!CR24/IF(Source!BB24&lt;&gt;0,Source!BB24,1)*Source!I24),2)+SUM(I38:I42)</f>
        <v>33121.189999999995</v>
      </c>
      <c r="J44" s="9"/>
      <c r="K44" s="35">
        <f>Source!S24+Source!Q24+SUM(K38:K42)</f>
        <v>64133.200000000004</v>
      </c>
      <c r="L44">
        <f>ROUND((Source!CT24/IF(Source!BA24&lt;&gt;0,Source!BA24,1)*Source!I24),2)</f>
        <v>736.47</v>
      </c>
      <c r="M44" s="16">
        <f>I44</f>
        <v>33121.189999999995</v>
      </c>
      <c r="N44" s="16">
        <f>K44</f>
        <v>64133.200000000004</v>
      </c>
      <c r="O44">
        <f>ROUND(IF(Source!BI24=1,(ROUND((Source!CT24/IF(Source!BA24&lt;&gt;0,Source!BA24,1)*Source!I24),2)+ROUND((Source!CR24/IF(Source!BB24&lt;&gt;0,Source!BB24,1)*Source!I24),2)+ROUND((Source!CQ24/IF(Source!BC24&lt;&gt;0,Source!BC24,1)*Source!I24),2)+((Source!DN24/100)*ROUND((Source!CT24/IF(Source!BA24&lt;&gt;0,Source!BA24,1)*Source!I24),2))+((Source!DO24/100)*ROUND((Source!CT24/IF(Source!BA24&lt;&gt;0,Source!BA24,1)*Source!I24),2))+(ROUND((Source!CS24/IF(Source!BS24&lt;&gt;0,Source!BS24,1)*Source!I24),2)*1.75)),0),2)</f>
        <v>6958.2</v>
      </c>
      <c r="P44">
        <f>ROUND(IF(Source!BI24=2,(ROUND((Source!CT24/IF(Source!BA24&lt;&gt;0,Source!BA24,1)*Source!I24),2)+ROUND((Source!CR24/IF(Source!BB24&lt;&gt;0,Source!BB24,1)*Source!I24),2)+ROUND((Source!CQ24/IF(Source!BC24&lt;&gt;0,Source!BC24,1)*Source!I24),2)+((Source!DN24/100)*ROUND((Source!CT24/IF(Source!BA24&lt;&gt;0,Source!BA24,1)*Source!I24),2))+((Source!DO24/100)*ROUND((Source!CT24/IF(Source!BA24&lt;&gt;0,Source!BA24,1)*Source!I24),2))+(ROUND((Source!CS24/IF(Source!BS24&lt;&gt;0,Source!BS24,1)*Source!I24),2)*1.75)),0),2)</f>
        <v>0</v>
      </c>
      <c r="Q44">
        <f>ROUND(IF(Source!BI24=3,(ROUND((Source!CT24/IF(Source!BA24&lt;&gt;0,Source!BA24,1)*Source!I24),2)+ROUND((Source!CR24/IF(Source!BB24&lt;&gt;0,Source!BB24,1)*Source!I24),2)+ROUND((Source!CQ24/IF(Source!BC24&lt;&gt;0,Source!BC24,1)*Source!I24),2)+((Source!DN24/100)*ROUND((Source!CT24/IF(Source!BA24&lt;&gt;0,Source!BA24,1)*Source!I24),2))+((Source!DO24/100)*ROUND((Source!CT24/IF(Source!BA24&lt;&gt;0,Source!BA24,1)*Source!I24),2))+(ROUND((Source!CS24/IF(Source!BS24&lt;&gt;0,Source!BS24,1)*Source!I24),2)*1.75)),0),2)</f>
        <v>0</v>
      </c>
      <c r="R44">
        <f>ROUND(IF(Source!BI24=4,(ROUND((Source!CT24/IF(Source!BA24&lt;&gt;0,Source!BA24,1)*Source!I24),2)+ROUND((Source!CR24/IF(Source!BB24&lt;&gt;0,Source!BB24,1)*Source!I24),2)+ROUND((Source!CQ24/IF(Source!BC24&lt;&gt;0,Source!BC24,1)*Source!I24),2)+((Source!DN24/100)*ROUND((Source!CT24/IF(Source!BA24&lt;&gt;0,Source!BA24,1)*Source!I24),2))+((Source!DO24/100)*ROUND((Source!CT24/IF(Source!BA24&lt;&gt;0,Source!BA24,1)*Source!I24),2))+(ROUND((Source!CS24/IF(Source!BS24&lt;&gt;0,Source!BS24,1)*Source!I24),2)*1.75)),0),2)</f>
        <v>0</v>
      </c>
      <c r="U44">
        <f>IF(Source!BI24=1,Source!O24+Source!X24+Source!Y24+Source!R24*178/100,0)</f>
        <v>37970.202000000005</v>
      </c>
      <c r="V44">
        <f>IF(Source!BI24=2,Source!O24+Source!X24+Source!Y24+Source!R24*178/100,0)</f>
        <v>0</v>
      </c>
      <c r="W44">
        <f>IF(Source!BI24=3,Source!O24+Source!X24+Source!Y24+Source!R24*178/100,0)</f>
        <v>0</v>
      </c>
      <c r="X44">
        <f>IF(Source!BI24=4,Source!O24+Source!X24+Source!Y24+Source!R24*178/100,0)</f>
        <v>0</v>
      </c>
    </row>
    <row r="45" spans="1:25" ht="84">
      <c r="A45" s="44">
        <v>2</v>
      </c>
      <c r="B45" s="28" t="str">
        <f>Source!F26</f>
        <v>3.15-143-5</v>
      </c>
      <c r="C45" s="13" t="str">
        <f>Source!G26</f>
        <v>ОБЛИЦОВКА ВЕРТИКАЛЬНЫХ ОТКОСОВ ОКОННЫХ И ДВЕРНЫХ ПРОЕМОВ ПЛИТАМИ  С УСТАНОВКОЙ СЛИВОВ И ВЕРХНЕГО ОТКОСА ИЗ ОЦИНКОВАННОЙ СТАЛИ ПО СИСТЕМЕ МАРМОРОК</v>
      </c>
      <c r="D45" s="29" t="str">
        <f>Source!H26</f>
        <v>100 м2</v>
      </c>
      <c r="E45" s="6">
        <f>ROUND(Source!I26,6)</f>
        <v>0.134</v>
      </c>
      <c r="F45" s="6"/>
      <c r="G45" s="6"/>
      <c r="H45" s="6"/>
      <c r="I45" s="6"/>
      <c r="J45" s="6"/>
      <c r="K45" s="6"/>
      <c r="Y45">
        <v>3</v>
      </c>
    </row>
    <row r="46" spans="1:11" ht="12.75">
      <c r="A46" s="6"/>
      <c r="B46" s="6"/>
      <c r="C46" s="6" t="s">
        <v>251</v>
      </c>
      <c r="D46" s="6"/>
      <c r="E46" s="6"/>
      <c r="F46" s="15">
        <f>Source!AO26</f>
        <v>3123.93</v>
      </c>
      <c r="G46" s="30" t="str">
        <f>Source!DG26</f>
        <v>)*1,15</v>
      </c>
      <c r="H46" s="6">
        <f>Source!AV26</f>
        <v>1.047</v>
      </c>
      <c r="I46" s="15">
        <f>ROUND((Source!CT26/IF(Source!BA26&lt;&gt;0,Source!BA26,1)*Source!I26),2)</f>
        <v>504.02</v>
      </c>
      <c r="J46" s="6">
        <f>Source!BA26</f>
        <v>12.7</v>
      </c>
      <c r="K46" s="15">
        <f>Source!S26</f>
        <v>6401.1</v>
      </c>
    </row>
    <row r="47" spans="1:11" ht="12.75">
      <c r="A47" s="6"/>
      <c r="B47" s="6"/>
      <c r="C47" s="6" t="s">
        <v>252</v>
      </c>
      <c r="D47" s="6"/>
      <c r="E47" s="6"/>
      <c r="F47" s="15">
        <f>Source!AM26</f>
        <v>107.42</v>
      </c>
      <c r="G47" s="30" t="str">
        <f>Source!DE26</f>
        <v>)*1,15</v>
      </c>
      <c r="H47" s="6">
        <f>Source!AV26</f>
        <v>1.047</v>
      </c>
      <c r="I47" s="15">
        <f>ROUND((Source!CR26/IF(Source!BB26&lt;&gt;0,Source!BB26,1)*Source!I26),2)</f>
        <v>17.33</v>
      </c>
      <c r="J47" s="6">
        <f>Source!BB26</f>
        <v>7.97</v>
      </c>
      <c r="K47" s="15">
        <f>Source!Q26</f>
        <v>138.13</v>
      </c>
    </row>
    <row r="48" spans="1:12" ht="12.75">
      <c r="A48" s="6"/>
      <c r="B48" s="6"/>
      <c r="C48" s="6" t="s">
        <v>253</v>
      </c>
      <c r="D48" s="6"/>
      <c r="E48" s="6"/>
      <c r="F48" s="15">
        <f>Source!AN26</f>
        <v>4.67</v>
      </c>
      <c r="G48" s="30" t="str">
        <f>Source!DF26</f>
        <v>)*1,15</v>
      </c>
      <c r="H48" s="6">
        <f>Source!AV26</f>
        <v>1.047</v>
      </c>
      <c r="I48" s="31" t="str">
        <f>CONCATENATE("(",TEXT(+ROUND((Source!CS26/IF(J48&lt;&gt;0,J48,1)*Source!I26),2),"0,00"),")")</f>
        <v>(0,75)</v>
      </c>
      <c r="J48" s="6">
        <f>Source!BS26</f>
        <v>12.7</v>
      </c>
      <c r="K48" s="31" t="str">
        <f>CONCATENATE("(",TEXT(+Source!R26,"0,00"),")")</f>
        <v>(9,57)</v>
      </c>
      <c r="L48">
        <f>ROUND(IF(J48&lt;&gt;0,Source!R26/J48,Source!R26),2)</f>
        <v>0.75</v>
      </c>
    </row>
    <row r="49" spans="1:11" ht="12.75">
      <c r="A49" s="6"/>
      <c r="B49" s="6"/>
      <c r="C49" s="6" t="s">
        <v>254</v>
      </c>
      <c r="D49" s="6"/>
      <c r="E49" s="6"/>
      <c r="F49" s="15">
        <f>Source!AL26</f>
        <v>13710.4</v>
      </c>
      <c r="G49" s="6">
        <f>Source!DD26</f>
      </c>
      <c r="H49" s="6">
        <f>Source!AW26</f>
        <v>1.003</v>
      </c>
      <c r="I49" s="15">
        <f>ROUND((Source!CQ26/IF(Source!BC26&lt;&gt;0,Source!BC26,1)*Source!I26),2)</f>
        <v>1842.71</v>
      </c>
      <c r="J49" s="6">
        <f>Source!BC26</f>
        <v>5.34</v>
      </c>
      <c r="K49" s="15">
        <f>Source!P26</f>
        <v>9840.05</v>
      </c>
    </row>
    <row r="50" spans="1:25" ht="36">
      <c r="A50" s="43">
        <v>2.1</v>
      </c>
      <c r="B50" s="28" t="str">
        <f>Source!F27</f>
        <v>ЦЕНА ПОСТАВЩИКА</v>
      </c>
      <c r="C50" s="13" t="str">
        <f>Source!G27</f>
        <v>ВЕНТИЛИРУЕМЫЙ ФАСАД "МАРМОРОК"</v>
      </c>
      <c r="D50" s="29" t="str">
        <f>Source!H27</f>
        <v>м2</v>
      </c>
      <c r="E50" s="6">
        <f>ROUND(Source!I27,6)</f>
        <v>7.236</v>
      </c>
      <c r="F50" s="15">
        <f>IF(Source!AL27=0,Source!AK27,Source!AL27)</f>
        <v>1800</v>
      </c>
      <c r="G50" s="30" t="str">
        <f>Source!DD27</f>
        <v>/1,18</v>
      </c>
      <c r="H50" s="6">
        <f>Source!AW27</f>
        <v>1.003</v>
      </c>
      <c r="I50" s="15">
        <f>ROUND((Source!CR27/IF(Source!BB27&lt;&gt;0,Source!BB27,1)*Source!I27),2)+ROUND((Source!CQ27/IF(Source!BC27&lt;&gt;0,Source!BC27,1)*Source!I27),2)+ROUND((Source!CT27/IF(Source!BA27&lt;&gt;0,Source!BA27,1)*Source!I27),2)</f>
        <v>11071.08</v>
      </c>
      <c r="J50" s="6">
        <f>Source!BC27</f>
        <v>1</v>
      </c>
      <c r="K50" s="15">
        <f>Source!O27</f>
        <v>11071.08</v>
      </c>
      <c r="O50">
        <f>IF(Source!BI27=1,(ROUND((Source!CR27/IF(Source!BB27&lt;&gt;0,Source!BB27,1)*Source!I27),2)+ROUND((Source!CQ27/IF(Source!BC27&lt;&gt;0,Source!BC27,1)*Source!I27),2)+ROUND((Source!CT27/IF(Source!BA27&lt;&gt;0,Source!BA27,1)*Source!I27),2)),0)</f>
        <v>11071.08</v>
      </c>
      <c r="P50">
        <f>IF(Source!BI27=2,(ROUND((Source!CR27/IF(Source!BB27&lt;&gt;0,Source!BB27,1)*Source!I27),2)+ROUND((Source!CQ27/IF(Source!BC27&lt;&gt;0,Source!BC27,1)*Source!I27),2)+ROUND((Source!CT27/IF(Source!BA27&lt;&gt;0,Source!BA27,1)*Source!I27),2)),0)</f>
        <v>0</v>
      </c>
      <c r="Q50">
        <f>IF(Source!BI27=3,(ROUND((Source!CR27/IF(Source!BB27&lt;&gt;0,Source!BB27,1)*Source!I27),2)+ROUND((Source!CQ27/IF(Source!BC27&lt;&gt;0,Source!BC27,1)*Source!I27),2)+ROUND((Source!CT27/IF(Source!BA27&lt;&gt;0,Source!BA27,1)*Source!I27),2)),0)</f>
        <v>0</v>
      </c>
      <c r="R50">
        <f>IF(Source!BI27=4,(ROUND((Source!CR27/IF(Source!BB27&lt;&gt;0,Source!BB27,1)*Source!I27),2)+ROUND((Source!CQ27/IF(Source!BC27&lt;&gt;0,Source!BC27,1)*Source!I27),2)+ROUND((Source!CT27/IF(Source!BA27&lt;&gt;0,Source!BA27,1)*Source!I27),2)),0)</f>
        <v>0</v>
      </c>
      <c r="U50">
        <f>IF(Source!BI27=1,Source!O27+Source!X27+Source!Y27,0)</f>
        <v>11071.08</v>
      </c>
      <c r="V50">
        <f>IF(Source!BI27=2,Source!O27+Source!X27+Source!Y27,0)</f>
        <v>0</v>
      </c>
      <c r="W50">
        <f>IF(Source!BI27=3,Source!O27+Source!X27+Source!Y27,0)</f>
        <v>0</v>
      </c>
      <c r="X50">
        <f>IF(Source!BI27=4,Source!O27+Source!X27+Source!Y27,0)</f>
        <v>0</v>
      </c>
      <c r="Y50">
        <v>4</v>
      </c>
    </row>
    <row r="51" spans="1:11" ht="12.75">
      <c r="A51" s="6"/>
      <c r="B51" s="6"/>
      <c r="C51" s="6" t="s">
        <v>255</v>
      </c>
      <c r="D51" s="6" t="s">
        <v>256</v>
      </c>
      <c r="E51" s="6">
        <f>Source!DN26</f>
        <v>120</v>
      </c>
      <c r="F51" s="6"/>
      <c r="G51" s="6"/>
      <c r="H51" s="6"/>
      <c r="I51" s="15">
        <f>ROUND((E51/100)*ROUND((Source!CT26/IF(Source!BA26&lt;&gt;0,Source!BA26,1)*Source!I26),2),2)</f>
        <v>604.82</v>
      </c>
      <c r="J51" s="6">
        <f>Source!AT26</f>
        <v>102</v>
      </c>
      <c r="K51" s="15">
        <f>Source!X26</f>
        <v>6529.12</v>
      </c>
    </row>
    <row r="52" spans="1:11" ht="12.75">
      <c r="A52" s="6"/>
      <c r="B52" s="6"/>
      <c r="C52" s="6" t="s">
        <v>257</v>
      </c>
      <c r="D52" s="6" t="s">
        <v>256</v>
      </c>
      <c r="E52" s="6">
        <f>Source!DO26</f>
        <v>84</v>
      </c>
      <c r="F52" s="6"/>
      <c r="G52" s="6"/>
      <c r="H52" s="6"/>
      <c r="I52" s="15">
        <f>ROUND((E52/100)*ROUND((Source!CT26/IF(Source!BA26&lt;&gt;0,Source!BA26,1)*Source!I26),2),2)</f>
        <v>423.38</v>
      </c>
      <c r="J52" s="6">
        <f>Source!AU26</f>
        <v>45</v>
      </c>
      <c r="K52" s="15">
        <f>Source!Y26</f>
        <v>2880.5</v>
      </c>
    </row>
    <row r="53" spans="1:11" ht="12.75">
      <c r="A53" s="6"/>
      <c r="B53" s="6"/>
      <c r="C53" s="6" t="s">
        <v>258</v>
      </c>
      <c r="D53" s="6" t="s">
        <v>256</v>
      </c>
      <c r="E53" s="6">
        <v>175</v>
      </c>
      <c r="F53" s="6"/>
      <c r="G53" s="6"/>
      <c r="H53" s="6"/>
      <c r="I53" s="15">
        <f>ROUND(ROUND((Source!CS26/IF(Source!BS26&lt;&gt;0,Source!BS26,1)*Source!I26),2)*1.75,2)</f>
        <v>1.31</v>
      </c>
      <c r="J53" s="6">
        <v>178</v>
      </c>
      <c r="K53" s="15">
        <f>ROUND(Source!R26*J53/100,2)</f>
        <v>17.03</v>
      </c>
    </row>
    <row r="54" spans="1:11" ht="12.75">
      <c r="A54" s="32"/>
      <c r="B54" s="32"/>
      <c r="C54" s="32" t="s">
        <v>259</v>
      </c>
      <c r="D54" s="32" t="s">
        <v>260</v>
      </c>
      <c r="E54" s="32">
        <f>Source!AQ26</f>
        <v>257.04</v>
      </c>
      <c r="F54" s="32"/>
      <c r="G54" s="33" t="str">
        <f>Source!DI26</f>
        <v>)*1,15</v>
      </c>
      <c r="H54" s="32">
        <f>Source!AV26</f>
        <v>1.047</v>
      </c>
      <c r="I54" s="34">
        <f>ROUND(Source!U26,2)</f>
        <v>41.47</v>
      </c>
      <c r="J54" s="32"/>
      <c r="K54" s="32"/>
    </row>
    <row r="55" spans="9:24" ht="12.75">
      <c r="I55" s="35">
        <f>ROUND((Source!CT26/IF(Source!BA26&lt;&gt;0,Source!BA26,1)*Source!I26),2)+ROUND((Source!CR26/IF(Source!BB26&lt;&gt;0,Source!BB26,1)*Source!I26),2)+SUM(I49:I53)</f>
        <v>14464.65</v>
      </c>
      <c r="J55" s="9"/>
      <c r="K55" s="35">
        <f>Source!S26+Source!Q26+SUM(K49:K53)</f>
        <v>36877.009999999995</v>
      </c>
      <c r="L55">
        <f>ROUND((Source!CT26/IF(Source!BA26&lt;&gt;0,Source!BA26,1)*Source!I26),2)</f>
        <v>504.02</v>
      </c>
      <c r="M55" s="16">
        <f>I55</f>
        <v>14464.65</v>
      </c>
      <c r="N55" s="16">
        <f>K55</f>
        <v>36877.009999999995</v>
      </c>
      <c r="O55">
        <f>ROUND(IF(Source!BI26=1,(ROUND((Source!CT26/IF(Source!BA26&lt;&gt;0,Source!BA26,1)*Source!I26),2)+ROUND((Source!CR26/IF(Source!BB26&lt;&gt;0,Source!BB26,1)*Source!I26),2)+ROUND((Source!CQ26/IF(Source!BC26&lt;&gt;0,Source!BC26,1)*Source!I26),2)+((Source!DN26/100)*ROUND((Source!CT26/IF(Source!BA26&lt;&gt;0,Source!BA26,1)*Source!I26),2))+((Source!DO26/100)*ROUND((Source!CT26/IF(Source!BA26&lt;&gt;0,Source!BA26,1)*Source!I26),2))+(ROUND((Source!CS26/IF(Source!BS26&lt;&gt;0,Source!BS26,1)*Source!I26),2)*1.75)),0),2)</f>
        <v>3393.57</v>
      </c>
      <c r="P55">
        <f>ROUND(IF(Source!BI26=2,(ROUND((Source!CT26/IF(Source!BA26&lt;&gt;0,Source!BA26,1)*Source!I26),2)+ROUND((Source!CR26/IF(Source!BB26&lt;&gt;0,Source!BB26,1)*Source!I26),2)+ROUND((Source!CQ26/IF(Source!BC26&lt;&gt;0,Source!BC26,1)*Source!I26),2)+((Source!DN26/100)*ROUND((Source!CT26/IF(Source!BA26&lt;&gt;0,Source!BA26,1)*Source!I26),2))+((Source!DO26/100)*ROUND((Source!CT26/IF(Source!BA26&lt;&gt;0,Source!BA26,1)*Source!I26),2))+(ROUND((Source!CS26/IF(Source!BS26&lt;&gt;0,Source!BS26,1)*Source!I26),2)*1.75)),0),2)</f>
        <v>0</v>
      </c>
      <c r="Q55">
        <f>ROUND(IF(Source!BI26=3,(ROUND((Source!CT26/IF(Source!BA26&lt;&gt;0,Source!BA26,1)*Source!I26),2)+ROUND((Source!CR26/IF(Source!BB26&lt;&gt;0,Source!BB26,1)*Source!I26),2)+ROUND((Source!CQ26/IF(Source!BC26&lt;&gt;0,Source!BC26,1)*Source!I26),2)+((Source!DN26/100)*ROUND((Source!CT26/IF(Source!BA26&lt;&gt;0,Source!BA26,1)*Source!I26),2))+((Source!DO26/100)*ROUND((Source!CT26/IF(Source!BA26&lt;&gt;0,Source!BA26,1)*Source!I26),2))+(ROUND((Source!CS26/IF(Source!BS26&lt;&gt;0,Source!BS26,1)*Source!I26),2)*1.75)),0),2)</f>
        <v>0</v>
      </c>
      <c r="R55">
        <f>ROUND(IF(Source!BI26=4,(ROUND((Source!CT26/IF(Source!BA26&lt;&gt;0,Source!BA26,1)*Source!I26),2)+ROUND((Source!CR26/IF(Source!BB26&lt;&gt;0,Source!BB26,1)*Source!I26),2)+ROUND((Source!CQ26/IF(Source!BC26&lt;&gt;0,Source!BC26,1)*Source!I26),2)+((Source!DN26/100)*ROUND((Source!CT26/IF(Source!BA26&lt;&gt;0,Source!BA26,1)*Source!I26),2))+((Source!DO26/100)*ROUND((Source!CT26/IF(Source!BA26&lt;&gt;0,Source!BA26,1)*Source!I26),2))+(ROUND((Source!CS26/IF(Source!BS26&lt;&gt;0,Source!BS26,1)*Source!I26),2)*1.75)),0),2)</f>
        <v>0</v>
      </c>
      <c r="U55">
        <f>IF(Source!BI26=1,Source!O26+Source!X26+Source!Y26+Source!R26*178/100,0)</f>
        <v>25805.9346</v>
      </c>
      <c r="V55">
        <f>IF(Source!BI26=2,Source!O26+Source!X26+Source!Y26+Source!R26*178/100,0)</f>
        <v>0</v>
      </c>
      <c r="W55">
        <f>IF(Source!BI26=3,Source!O26+Source!X26+Source!Y26+Source!R26*178/100,0)</f>
        <v>0</v>
      </c>
      <c r="X55">
        <f>IF(Source!BI26=4,Source!O26+Source!X26+Source!Y26+Source!R26*178/100,0)</f>
        <v>0</v>
      </c>
    </row>
    <row r="56" spans="1:25" ht="48">
      <c r="A56" s="44">
        <v>3</v>
      </c>
      <c r="B56" s="28" t="str">
        <f>Source!F28</f>
        <v>3.15-143-3</v>
      </c>
      <c r="C56" s="13" t="str">
        <f>Source!G28</f>
        <v>МОНТАЖ НАВЕСНЫХ ВЕНТИЛИРУЕМЫХ ФАСАДОВ ВЫШЕ ЦОКОЛЯ БЕЗ УТЕПЛИТЕЛЯ ПО СИСТЕМЕ МАРМОРОК</v>
      </c>
      <c r="D56" s="29" t="str">
        <f>Source!H28</f>
        <v>100 м2</v>
      </c>
      <c r="E56" s="6">
        <f>ROUND(Source!I28,6)</f>
        <v>0.3402</v>
      </c>
      <c r="F56" s="6"/>
      <c r="G56" s="6"/>
      <c r="H56" s="6"/>
      <c r="I56" s="6"/>
      <c r="J56" s="6"/>
      <c r="K56" s="6"/>
      <c r="Y56">
        <v>5</v>
      </c>
    </row>
    <row r="57" spans="1:11" ht="12.75">
      <c r="A57" s="6"/>
      <c r="B57" s="6"/>
      <c r="C57" s="6" t="s">
        <v>251</v>
      </c>
      <c r="D57" s="6"/>
      <c r="E57" s="6"/>
      <c r="F57" s="15">
        <f>Source!AO28</f>
        <v>5868.22</v>
      </c>
      <c r="G57" s="30" t="str">
        <f>Source!DG28</f>
        <v>)*1,15</v>
      </c>
      <c r="H57" s="6">
        <f>Source!AV28</f>
        <v>1.047</v>
      </c>
      <c r="I57" s="15">
        <f>ROUND((Source!CT28/IF(Source!BA28&lt;&gt;0,Source!BA28,1)*Source!I28),2)</f>
        <v>2403.73</v>
      </c>
      <c r="J57" s="6">
        <f>Source!BA28</f>
        <v>12.7</v>
      </c>
      <c r="K57" s="15">
        <f>Source!S28</f>
        <v>30527.34</v>
      </c>
    </row>
    <row r="58" spans="1:11" ht="12.75">
      <c r="A58" s="6"/>
      <c r="B58" s="6"/>
      <c r="C58" s="6" t="s">
        <v>252</v>
      </c>
      <c r="D58" s="6"/>
      <c r="E58" s="6"/>
      <c r="F58" s="15">
        <f>Source!AM28</f>
        <v>208.09</v>
      </c>
      <c r="G58" s="30" t="str">
        <f>Source!DE28</f>
        <v>)*1,15</v>
      </c>
      <c r="H58" s="6">
        <f>Source!AV28</f>
        <v>1.047</v>
      </c>
      <c r="I58" s="15">
        <f>ROUND((Source!CR28/IF(Source!BB28&lt;&gt;0,Source!BB28,1)*Source!I28),2)</f>
        <v>85.24</v>
      </c>
      <c r="J58" s="6">
        <f>Source!BB28</f>
        <v>6.09</v>
      </c>
      <c r="K58" s="15">
        <f>Source!Q28</f>
        <v>519.1</v>
      </c>
    </row>
    <row r="59" spans="1:12" ht="12.75">
      <c r="A59" s="6"/>
      <c r="B59" s="6"/>
      <c r="C59" s="6" t="s">
        <v>253</v>
      </c>
      <c r="D59" s="6"/>
      <c r="E59" s="6"/>
      <c r="F59" s="15">
        <f>Source!AN28</f>
        <v>9.8</v>
      </c>
      <c r="G59" s="30" t="str">
        <f>Source!DF28</f>
        <v>)*1,15</v>
      </c>
      <c r="H59" s="6">
        <f>Source!AV28</f>
        <v>1.047</v>
      </c>
      <c r="I59" s="31" t="str">
        <f>CONCATENATE("(",TEXT(+ROUND((Source!CS28/IF(J59&lt;&gt;0,J59,1)*Source!I28),2),"0,00"),")")</f>
        <v>(4,01)</v>
      </c>
      <c r="J59" s="6">
        <f>Source!BS28</f>
        <v>12.7</v>
      </c>
      <c r="K59" s="31" t="str">
        <f>CONCATENATE("(",TEXT(+Source!R28,"0,00"),")")</f>
        <v>(50,98)</v>
      </c>
      <c r="L59">
        <f>ROUND(IF(J59&lt;&gt;0,Source!R28/J59,Source!R28),2)</f>
        <v>4.01</v>
      </c>
    </row>
    <row r="60" spans="1:11" ht="12.75">
      <c r="A60" s="6"/>
      <c r="B60" s="6"/>
      <c r="C60" s="6" t="s">
        <v>254</v>
      </c>
      <c r="D60" s="6"/>
      <c r="E60" s="6"/>
      <c r="F60" s="15">
        <f>Source!AL28</f>
        <v>38775.07</v>
      </c>
      <c r="G60" s="6">
        <f>Source!DD28</f>
      </c>
      <c r="H60" s="6">
        <f>Source!AW28</f>
        <v>1.003</v>
      </c>
      <c r="I60" s="15">
        <f>ROUND((Source!CQ28/IF(Source!BC28&lt;&gt;0,Source!BC28,1)*Source!I28),2)</f>
        <v>13230.85</v>
      </c>
      <c r="J60" s="6">
        <f>Source!BC28</f>
        <v>3.1</v>
      </c>
      <c r="K60" s="15">
        <f>Source!P28</f>
        <v>41015.64</v>
      </c>
    </row>
    <row r="61" spans="1:25" ht="36">
      <c r="A61" s="43" t="s">
        <v>268</v>
      </c>
      <c r="B61" s="28" t="str">
        <f>Source!F29</f>
        <v>ЦЕНА ПОСТАВЩИКА</v>
      </c>
      <c r="C61" s="13" t="str">
        <f>Source!G29</f>
        <v>ВЕНТИЛИРУЕМЫЙ ФАСАД "МАРМОРОК"</v>
      </c>
      <c r="D61" s="29" t="str">
        <f>Source!H29</f>
        <v>м2</v>
      </c>
      <c r="E61" s="6">
        <f>ROUND(Source!I29,6)</f>
        <v>39.123</v>
      </c>
      <c r="F61" s="15">
        <f>IF(Source!AL29=0,Source!AK29,Source!AL29)</f>
        <v>1800</v>
      </c>
      <c r="G61" s="30" t="str">
        <f>Source!DD29</f>
        <v>/1,18</v>
      </c>
      <c r="H61" s="6">
        <f>Source!AW29</f>
        <v>1.003</v>
      </c>
      <c r="I61" s="15">
        <f>ROUND((Source!CR29/IF(Source!BB29&lt;&gt;0,Source!BB29,1)*Source!I29),2)+ROUND((Source!CQ29/IF(Source!BC29&lt;&gt;0,Source!BC29,1)*Source!I29),2)+ROUND((Source!CT29/IF(Source!BA29&lt;&gt;0,Source!BA29,1)*Source!I29),2)</f>
        <v>59858.19</v>
      </c>
      <c r="J61" s="6">
        <f>Source!BC29</f>
        <v>1</v>
      </c>
      <c r="K61" s="15">
        <f>Source!O29</f>
        <v>59858.19</v>
      </c>
      <c r="O61">
        <f>IF(Source!BI29=1,(ROUND((Source!CR29/IF(Source!BB29&lt;&gt;0,Source!BB29,1)*Source!I29),2)+ROUND((Source!CQ29/IF(Source!BC29&lt;&gt;0,Source!BC29,1)*Source!I29),2)+ROUND((Source!CT29/IF(Source!BA29&lt;&gt;0,Source!BA29,1)*Source!I29),2)),0)</f>
        <v>59858.19</v>
      </c>
      <c r="P61">
        <f>IF(Source!BI29=2,(ROUND((Source!CR29/IF(Source!BB29&lt;&gt;0,Source!BB29,1)*Source!I29),2)+ROUND((Source!CQ29/IF(Source!BC29&lt;&gt;0,Source!BC29,1)*Source!I29),2)+ROUND((Source!CT29/IF(Source!BA29&lt;&gt;0,Source!BA29,1)*Source!I29),2)),0)</f>
        <v>0</v>
      </c>
      <c r="Q61">
        <f>IF(Source!BI29=3,(ROUND((Source!CR29/IF(Source!BB29&lt;&gt;0,Source!BB29,1)*Source!I29),2)+ROUND((Source!CQ29/IF(Source!BC29&lt;&gt;0,Source!BC29,1)*Source!I29),2)+ROUND((Source!CT29/IF(Source!BA29&lt;&gt;0,Source!BA29,1)*Source!I29),2)),0)</f>
        <v>0</v>
      </c>
      <c r="R61">
        <f>IF(Source!BI29=4,(ROUND((Source!CR29/IF(Source!BB29&lt;&gt;0,Source!BB29,1)*Source!I29),2)+ROUND((Source!CQ29/IF(Source!BC29&lt;&gt;0,Source!BC29,1)*Source!I29),2)+ROUND((Source!CT29/IF(Source!BA29&lt;&gt;0,Source!BA29,1)*Source!I29),2)),0)</f>
        <v>0</v>
      </c>
      <c r="U61">
        <f>IF(Source!BI29=1,Source!O29+Source!X29+Source!Y29,0)</f>
        <v>59858.19</v>
      </c>
      <c r="V61">
        <f>IF(Source!BI29=2,Source!O29+Source!X29+Source!Y29,0)</f>
        <v>0</v>
      </c>
      <c r="W61">
        <f>IF(Source!BI29=3,Source!O29+Source!X29+Source!Y29,0)</f>
        <v>0</v>
      </c>
      <c r="X61">
        <f>IF(Source!BI29=4,Source!O29+Source!X29+Source!Y29,0)</f>
        <v>0</v>
      </c>
      <c r="Y61">
        <v>6</v>
      </c>
    </row>
    <row r="62" spans="1:11" ht="12.75">
      <c r="A62" s="6"/>
      <c r="B62" s="6"/>
      <c r="C62" s="6" t="s">
        <v>255</v>
      </c>
      <c r="D62" s="6" t="s">
        <v>256</v>
      </c>
      <c r="E62" s="6">
        <f>Source!DN28</f>
        <v>120</v>
      </c>
      <c r="F62" s="6"/>
      <c r="G62" s="6"/>
      <c r="H62" s="6"/>
      <c r="I62" s="15">
        <f>ROUND((E62/100)*ROUND((Source!CT28/IF(Source!BA28&lt;&gt;0,Source!BA28,1)*Source!I28),2),2)</f>
        <v>2884.48</v>
      </c>
      <c r="J62" s="6">
        <f>Source!AT28</f>
        <v>102</v>
      </c>
      <c r="K62" s="15">
        <f>Source!X28</f>
        <v>31137.89</v>
      </c>
    </row>
    <row r="63" spans="1:11" ht="12.75">
      <c r="A63" s="6"/>
      <c r="B63" s="6"/>
      <c r="C63" s="6" t="s">
        <v>257</v>
      </c>
      <c r="D63" s="6" t="s">
        <v>256</v>
      </c>
      <c r="E63" s="6">
        <f>Source!DO28</f>
        <v>84</v>
      </c>
      <c r="F63" s="6"/>
      <c r="G63" s="6"/>
      <c r="H63" s="6"/>
      <c r="I63" s="15">
        <f>ROUND((E63/100)*ROUND((Source!CT28/IF(Source!BA28&lt;&gt;0,Source!BA28,1)*Source!I28),2),2)</f>
        <v>2019.13</v>
      </c>
      <c r="J63" s="6">
        <f>Source!AU28</f>
        <v>45</v>
      </c>
      <c r="K63" s="15">
        <f>Source!Y28</f>
        <v>13737.3</v>
      </c>
    </row>
    <row r="64" spans="1:11" ht="12.75">
      <c r="A64" s="6"/>
      <c r="B64" s="6"/>
      <c r="C64" s="6" t="s">
        <v>258</v>
      </c>
      <c r="D64" s="6" t="s">
        <v>256</v>
      </c>
      <c r="E64" s="6">
        <v>175</v>
      </c>
      <c r="F64" s="6"/>
      <c r="G64" s="6"/>
      <c r="H64" s="6"/>
      <c r="I64" s="15">
        <f>ROUND(ROUND((Source!CS28/IF(Source!BS28&lt;&gt;0,Source!BS28,1)*Source!I28),2)*1.75,2)</f>
        <v>7.02</v>
      </c>
      <c r="J64" s="6">
        <v>178</v>
      </c>
      <c r="K64" s="15">
        <f>ROUND(Source!R28*J64/100,2)</f>
        <v>90.74</v>
      </c>
    </row>
    <row r="65" spans="1:11" ht="12.75">
      <c r="A65" s="32"/>
      <c r="B65" s="32"/>
      <c r="C65" s="32" t="s">
        <v>259</v>
      </c>
      <c r="D65" s="32" t="s">
        <v>260</v>
      </c>
      <c r="E65" s="32">
        <f>Source!AQ28</f>
        <v>473.71</v>
      </c>
      <c r="F65" s="32"/>
      <c r="G65" s="33" t="str">
        <f>Source!DI28</f>
        <v>)*1,15</v>
      </c>
      <c r="H65" s="32">
        <f>Source!AV28</f>
        <v>1.047</v>
      </c>
      <c r="I65" s="34">
        <f>ROUND(Source!U28,2)</f>
        <v>194.04</v>
      </c>
      <c r="J65" s="32"/>
      <c r="K65" s="32"/>
    </row>
    <row r="66" spans="9:24" ht="12.75">
      <c r="I66" s="35">
        <f>ROUND((Source!CT28/IF(Source!BA28&lt;&gt;0,Source!BA28,1)*Source!I28),2)+ROUND((Source!CR28/IF(Source!BB28&lt;&gt;0,Source!BB28,1)*Source!I28),2)+SUM(I60:I64)</f>
        <v>80488.64000000001</v>
      </c>
      <c r="J66" s="9"/>
      <c r="K66" s="35">
        <f>Source!S28+Source!Q28+SUM(K60:K64)</f>
        <v>176886.19999999998</v>
      </c>
      <c r="L66">
        <f>ROUND((Source!CT28/IF(Source!BA28&lt;&gt;0,Source!BA28,1)*Source!I28),2)</f>
        <v>2403.73</v>
      </c>
      <c r="M66" s="16">
        <f>I66</f>
        <v>80488.64000000001</v>
      </c>
      <c r="N66" s="16">
        <f>K66</f>
        <v>176886.19999999998</v>
      </c>
      <c r="O66">
        <f>ROUND(IF(Source!BI28=1,(ROUND((Source!CT28/IF(Source!BA28&lt;&gt;0,Source!BA28,1)*Source!I28),2)+ROUND((Source!CR28/IF(Source!BB28&lt;&gt;0,Source!BB28,1)*Source!I28),2)+ROUND((Source!CQ28/IF(Source!BC28&lt;&gt;0,Source!BC28,1)*Source!I28),2)+((Source!DN28/100)*ROUND((Source!CT28/IF(Source!BA28&lt;&gt;0,Source!BA28,1)*Source!I28),2))+((Source!DO28/100)*ROUND((Source!CT28/IF(Source!BA28&lt;&gt;0,Source!BA28,1)*Source!I28),2))+(ROUND((Source!CS28/IF(Source!BS28&lt;&gt;0,Source!BS28,1)*Source!I28),2)*1.75)),0),2)</f>
        <v>20630.45</v>
      </c>
      <c r="P66">
        <f>ROUND(IF(Source!BI28=2,(ROUND((Source!CT28/IF(Source!BA28&lt;&gt;0,Source!BA28,1)*Source!I28),2)+ROUND((Source!CR28/IF(Source!BB28&lt;&gt;0,Source!BB28,1)*Source!I28),2)+ROUND((Source!CQ28/IF(Source!BC28&lt;&gt;0,Source!BC28,1)*Source!I28),2)+((Source!DN28/100)*ROUND((Source!CT28/IF(Source!BA28&lt;&gt;0,Source!BA28,1)*Source!I28),2))+((Source!DO28/100)*ROUND((Source!CT28/IF(Source!BA28&lt;&gt;0,Source!BA28,1)*Source!I28),2))+(ROUND((Source!CS28/IF(Source!BS28&lt;&gt;0,Source!BS28,1)*Source!I28),2)*1.75)),0),2)</f>
        <v>0</v>
      </c>
      <c r="Q66">
        <f>ROUND(IF(Source!BI28=3,(ROUND((Source!CT28/IF(Source!BA28&lt;&gt;0,Source!BA28,1)*Source!I28),2)+ROUND((Source!CR28/IF(Source!BB28&lt;&gt;0,Source!BB28,1)*Source!I28),2)+ROUND((Source!CQ28/IF(Source!BC28&lt;&gt;0,Source!BC28,1)*Source!I28),2)+((Source!DN28/100)*ROUND((Source!CT28/IF(Source!BA28&lt;&gt;0,Source!BA28,1)*Source!I28),2))+((Source!DO28/100)*ROUND((Source!CT28/IF(Source!BA28&lt;&gt;0,Source!BA28,1)*Source!I28),2))+(ROUND((Source!CS28/IF(Source!BS28&lt;&gt;0,Source!BS28,1)*Source!I28),2)*1.75)),0),2)</f>
        <v>0</v>
      </c>
      <c r="R66">
        <f>ROUND(IF(Source!BI28=4,(ROUND((Source!CT28/IF(Source!BA28&lt;&gt;0,Source!BA28,1)*Source!I28),2)+ROUND((Source!CR28/IF(Source!BB28&lt;&gt;0,Source!BB28,1)*Source!I28),2)+ROUND((Source!CQ28/IF(Source!BC28&lt;&gt;0,Source!BC28,1)*Source!I28),2)+((Source!DN28/100)*ROUND((Source!CT28/IF(Source!BA28&lt;&gt;0,Source!BA28,1)*Source!I28),2))+((Source!DO28/100)*ROUND((Source!CT28/IF(Source!BA28&lt;&gt;0,Source!BA28,1)*Source!I28),2))+(ROUND((Source!CS28/IF(Source!BS28&lt;&gt;0,Source!BS28,1)*Source!I28),2)*1.75)),0),2)</f>
        <v>0</v>
      </c>
      <c r="U66">
        <f>IF(Source!BI28=1,Source!O28+Source!X28+Source!Y28+Source!R28*178/100,0)</f>
        <v>117028.0144</v>
      </c>
      <c r="V66">
        <f>IF(Source!BI28=2,Source!O28+Source!X28+Source!Y28+Source!R28*178/100,0)</f>
        <v>0</v>
      </c>
      <c r="W66">
        <f>IF(Source!BI28=3,Source!O28+Source!X28+Source!Y28+Source!R28*178/100,0)</f>
        <v>0</v>
      </c>
      <c r="X66">
        <f>IF(Source!BI28=4,Source!O28+Source!X28+Source!Y28+Source!R28*178/100,0)</f>
        <v>0</v>
      </c>
    </row>
    <row r="68" spans="3:12" s="9" customFormat="1" ht="12.75">
      <c r="C68" s="9" t="s">
        <v>64</v>
      </c>
      <c r="H68" s="47">
        <f>SUM(M34:M67)</f>
        <v>128074.48000000001</v>
      </c>
      <c r="I68" s="47"/>
      <c r="J68" s="47">
        <f>SUM(N34:N67)</f>
        <v>277896.41</v>
      </c>
      <c r="K68" s="47"/>
      <c r="L68" s="35">
        <f>SUM(L34:L67)</f>
        <v>3667.63</v>
      </c>
    </row>
    <row r="70" spans="3:11" ht="12.75">
      <c r="C70" s="36" t="s">
        <v>261</v>
      </c>
      <c r="D70" s="56"/>
      <c r="E70" s="56"/>
      <c r="F70" s="56"/>
      <c r="G70" s="56"/>
      <c r="H70" s="56"/>
      <c r="I70" s="56"/>
      <c r="J70" s="56"/>
      <c r="K70" s="56"/>
    </row>
    <row r="71" spans="3:11" ht="12.75">
      <c r="C71" s="49" t="str">
        <f>Source!H46</f>
        <v>Итого</v>
      </c>
      <c r="D71" s="49"/>
      <c r="E71" s="49"/>
      <c r="F71" s="49"/>
      <c r="G71" s="49"/>
      <c r="H71" s="49"/>
      <c r="I71" s="49"/>
      <c r="J71" s="50">
        <f>Source!F46</f>
        <v>277896.42</v>
      </c>
      <c r="K71" s="51"/>
    </row>
    <row r="72" spans="3:11" ht="12.75">
      <c r="C72" s="49" t="str">
        <f>Source!H47</f>
        <v>НДС 18 %</v>
      </c>
      <c r="D72" s="49"/>
      <c r="E72" s="49"/>
      <c r="F72" s="49"/>
      <c r="G72" s="49"/>
      <c r="H72" s="49"/>
      <c r="I72" s="49"/>
      <c r="J72" s="50">
        <f>Source!F47</f>
        <v>50021.36</v>
      </c>
      <c r="K72" s="51"/>
    </row>
    <row r="73" spans="3:11" ht="12.75">
      <c r="C73" s="49" t="str">
        <f>Source!H48</f>
        <v>Всего</v>
      </c>
      <c r="D73" s="49"/>
      <c r="E73" s="49"/>
      <c r="F73" s="49"/>
      <c r="G73" s="49"/>
      <c r="H73" s="49"/>
      <c r="I73" s="49"/>
      <c r="J73" s="50">
        <f>Source!F48</f>
        <v>327917.78</v>
      </c>
      <c r="K73" s="51"/>
    </row>
    <row r="74" spans="3:12" s="9" customFormat="1" ht="12.75">
      <c r="C74" s="9" t="s">
        <v>265</v>
      </c>
      <c r="H74" s="47"/>
      <c r="I74" s="47"/>
      <c r="J74" s="45">
        <f>J73/51.12</f>
        <v>6414.667057902974</v>
      </c>
      <c r="K74" s="46"/>
      <c r="L74" s="35">
        <f>L68</f>
        <v>3667.63</v>
      </c>
    </row>
    <row r="78" spans="1:8" ht="12.75">
      <c r="A78" t="s">
        <v>262</v>
      </c>
      <c r="C78" s="37" t="str">
        <f>IF(Source!AO12&lt;&gt;"",Source!AO12," ")</f>
        <v> </v>
      </c>
      <c r="D78" s="37"/>
      <c r="E78" s="37"/>
      <c r="F78" s="37"/>
      <c r="G78" s="37"/>
      <c r="H78" t="str">
        <f>IF(Source!R12&lt;&gt;"",Source!R12," ")</f>
        <v> </v>
      </c>
    </row>
    <row r="79" spans="3:7" s="38" customFormat="1" ht="11.25">
      <c r="C79" s="48" t="s">
        <v>263</v>
      </c>
      <c r="D79" s="48"/>
      <c r="E79" s="48"/>
      <c r="F79" s="48"/>
      <c r="G79" s="48"/>
    </row>
    <row r="81" spans="1:8" ht="12.75">
      <c r="A81" t="s">
        <v>264</v>
      </c>
      <c r="C81" s="37" t="str">
        <f>IF(Source!AP12&lt;&gt;"",Source!AP12," ")</f>
        <v> </v>
      </c>
      <c r="D81" s="37"/>
      <c r="E81" s="37"/>
      <c r="F81" s="37"/>
      <c r="G81" s="37"/>
      <c r="H81" t="str">
        <f>IF(Source!S12&lt;&gt;"",Source!S12," ")</f>
        <v> </v>
      </c>
    </row>
    <row r="82" spans="3:7" s="38" customFormat="1" ht="11.25">
      <c r="C82" s="48" t="s">
        <v>263</v>
      </c>
      <c r="D82" s="48"/>
      <c r="E82" s="48"/>
      <c r="F82" s="48"/>
      <c r="G82" s="48"/>
    </row>
  </sheetData>
  <sheetProtection/>
  <mergeCells count="28">
    <mergeCell ref="A15:K15"/>
    <mergeCell ref="A16:K16"/>
    <mergeCell ref="B18:K18"/>
    <mergeCell ref="F3:I3"/>
    <mergeCell ref="A5:B5"/>
    <mergeCell ref="F5:H5"/>
    <mergeCell ref="C5:D5"/>
    <mergeCell ref="I5:K5"/>
    <mergeCell ref="C7:D7"/>
    <mergeCell ref="H7:K7"/>
    <mergeCell ref="A12:K12"/>
    <mergeCell ref="A13:K13"/>
    <mergeCell ref="B19:K19"/>
    <mergeCell ref="A21:K21"/>
    <mergeCell ref="G28:H28"/>
    <mergeCell ref="J68:K68"/>
    <mergeCell ref="H68:I68"/>
    <mergeCell ref="D70:K70"/>
    <mergeCell ref="J74:K74"/>
    <mergeCell ref="H74:I74"/>
    <mergeCell ref="C79:G79"/>
    <mergeCell ref="C82:G82"/>
    <mergeCell ref="C71:I71"/>
    <mergeCell ref="J71:K71"/>
    <mergeCell ref="C72:I72"/>
    <mergeCell ref="J72:K72"/>
    <mergeCell ref="C73:I73"/>
    <mergeCell ref="J73:K73"/>
  </mergeCells>
  <printOptions/>
  <pageMargins left="0.38740157480315" right="0.196850393700787" top="0.393700787401575" bottom="0.393700787401575" header="0.11811023622047198" footer="0.11811023622047198"/>
  <pageSetup horizontalDpi="600" verticalDpi="600" orientation="portrait" paperSize="9" scale="75" r:id="rId1"/>
  <headerFooter>
    <oddHeader>&amp;L&amp;8ООО "ТАУРУСС"  Доп. раб. место  FStS-0044114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Y71"/>
  <sheetViews>
    <sheetView zoomScalePageLayoutView="0" workbookViewId="0" topLeftCell="A1">
      <selection activeCell="I1" sqref="I1:P2"/>
    </sheetView>
  </sheetViews>
  <sheetFormatPr defaultColWidth="9.140625" defaultRowHeight="12.75"/>
  <sheetData>
    <row r="1" spans="1:8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</row>
    <row r="12" spans="1:104" ht="12.75">
      <c r="A12" s="1">
        <v>1</v>
      </c>
      <c r="B12" s="1">
        <v>1</v>
      </c>
      <c r="C12" s="1">
        <v>0</v>
      </c>
      <c r="D12" s="1">
        <f>ROW(A50)</f>
        <v>50</v>
      </c>
      <c r="E12" s="1">
        <v>0</v>
      </c>
      <c r="F12" s="1" t="s">
        <v>2</v>
      </c>
      <c r="G12" s="1" t="s">
        <v>3</v>
      </c>
      <c r="H12" s="1" t="s">
        <v>4</v>
      </c>
      <c r="I12" s="1">
        <v>0</v>
      </c>
      <c r="J12" s="1" t="s">
        <v>4</v>
      </c>
      <c r="K12" s="1" t="s">
        <v>4</v>
      </c>
      <c r="L12" s="1" t="s">
        <v>4</v>
      </c>
      <c r="M12" s="1" t="s">
        <v>4</v>
      </c>
      <c r="N12" s="1" t="s">
        <v>4</v>
      </c>
      <c r="O12" s="1" t="s">
        <v>5</v>
      </c>
      <c r="P12" s="1">
        <v>2011</v>
      </c>
      <c r="Q12" s="1">
        <v>10</v>
      </c>
      <c r="R12" s="1" t="s">
        <v>4</v>
      </c>
      <c r="S12" s="1" t="s">
        <v>4</v>
      </c>
      <c r="T12" s="1" t="s">
        <v>4</v>
      </c>
      <c r="U12" s="1" t="s">
        <v>4</v>
      </c>
      <c r="V12" s="1">
        <v>-3</v>
      </c>
      <c r="W12" s="1" t="s">
        <v>4</v>
      </c>
      <c r="X12" s="1">
        <v>0</v>
      </c>
      <c r="Y12" s="1">
        <v>2</v>
      </c>
      <c r="Z12" s="1">
        <v>2</v>
      </c>
      <c r="AA12" s="1">
        <v>1</v>
      </c>
      <c r="AB12" s="1"/>
      <c r="AC12" s="1">
        <v>1</v>
      </c>
      <c r="AD12" s="1">
        <v>2</v>
      </c>
      <c r="AE12" s="1">
        <v>0</v>
      </c>
      <c r="AF12" s="1">
        <v>0</v>
      </c>
      <c r="AG12" s="1">
        <v>1</v>
      </c>
      <c r="AH12" s="1">
        <v>0</v>
      </c>
      <c r="AI12" s="1">
        <v>1</v>
      </c>
      <c r="AJ12" s="1">
        <v>106</v>
      </c>
      <c r="AK12" s="1">
        <v>72</v>
      </c>
      <c r="AL12" s="1" t="s">
        <v>4</v>
      </c>
      <c r="AM12" s="1" t="s">
        <v>4</v>
      </c>
      <c r="AN12" s="1">
        <v>0</v>
      </c>
      <c r="AO12" s="1" t="s">
        <v>4</v>
      </c>
      <c r="AP12" s="1" t="s">
        <v>4</v>
      </c>
      <c r="AQ12" s="1" t="s">
        <v>4</v>
      </c>
      <c r="AR12" s="1" t="s">
        <v>4</v>
      </c>
      <c r="AS12" s="1" t="s">
        <v>4</v>
      </c>
      <c r="AT12" s="1" t="s">
        <v>4</v>
      </c>
      <c r="AU12" s="1" t="s">
        <v>4</v>
      </c>
      <c r="AV12" s="1" t="s">
        <v>4</v>
      </c>
      <c r="AW12" s="1" t="s">
        <v>4</v>
      </c>
      <c r="AX12" s="1"/>
      <c r="AY12" s="1"/>
      <c r="AZ12" s="1"/>
      <c r="BA12" s="1">
        <v>178</v>
      </c>
      <c r="BB12" s="1">
        <v>106</v>
      </c>
      <c r="BC12" s="1">
        <v>72</v>
      </c>
      <c r="BD12" s="1">
        <v>12715146</v>
      </c>
      <c r="BE12" s="1" t="s">
        <v>6</v>
      </c>
      <c r="BF12" s="1" t="s">
        <v>7</v>
      </c>
      <c r="BG12" s="1">
        <v>7155519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178</v>
      </c>
      <c r="BU12" s="1">
        <v>1</v>
      </c>
      <c r="BV12" s="1">
        <v>1</v>
      </c>
      <c r="BW12" s="1">
        <v>0</v>
      </c>
      <c r="BX12" s="1">
        <v>0</v>
      </c>
      <c r="BY12" s="1">
        <v>0</v>
      </c>
      <c r="BZ12" s="1">
        <v>0</v>
      </c>
      <c r="CA12" s="1">
        <v>7155514</v>
      </c>
      <c r="CB12" s="1">
        <v>7155498</v>
      </c>
      <c r="CC12" s="1">
        <v>7155496</v>
      </c>
      <c r="CD12" s="1">
        <v>7155494</v>
      </c>
      <c r="CE12" s="1">
        <v>0</v>
      </c>
      <c r="CF12" s="1">
        <v>0</v>
      </c>
      <c r="CG12" s="1" t="s">
        <v>4</v>
      </c>
      <c r="CH12" s="1" t="s">
        <v>4</v>
      </c>
      <c r="CI12" s="1" t="s">
        <v>4</v>
      </c>
      <c r="CJ12" s="1">
        <v>0</v>
      </c>
      <c r="CK12" s="1">
        <v>7182712</v>
      </c>
      <c r="CL12" s="1" t="s">
        <v>8</v>
      </c>
      <c r="CM12" s="1" t="s">
        <v>9</v>
      </c>
      <c r="CN12" s="1" t="s">
        <v>5</v>
      </c>
      <c r="CO12" s="1" t="s">
        <v>5</v>
      </c>
      <c r="CP12" s="1" t="s">
        <v>5</v>
      </c>
      <c r="CQ12" s="1" t="s">
        <v>5</v>
      </c>
      <c r="CR12" s="1" t="s">
        <v>4</v>
      </c>
      <c r="CS12" s="1">
        <v>0</v>
      </c>
      <c r="CT12" s="1">
        <v>0</v>
      </c>
      <c r="CU12" s="1">
        <v>0</v>
      </c>
      <c r="CV12" s="1">
        <v>7534350</v>
      </c>
      <c r="CW12" s="1">
        <v>12332361</v>
      </c>
      <c r="CX12" s="1">
        <v>12332362</v>
      </c>
      <c r="CY12" s="1">
        <v>8</v>
      </c>
      <c r="CZ12" s="1" t="s">
        <v>4</v>
      </c>
    </row>
    <row r="15" spans="1:104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8" spans="1:43" ht="12.75">
      <c r="A18" s="2">
        <v>52</v>
      </c>
      <c r="B18" s="2">
        <f aca="true" t="shared" si="0" ref="B18:AQ18">B50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№546 Фасад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209332.96</v>
      </c>
      <c r="P18" s="2">
        <f t="shared" si="0"/>
        <v>161837.21</v>
      </c>
      <c r="Q18" s="2">
        <f t="shared" si="0"/>
        <v>1214.12</v>
      </c>
      <c r="R18" s="2">
        <f t="shared" si="0"/>
        <v>297.45</v>
      </c>
      <c r="S18" s="2">
        <f t="shared" si="0"/>
        <v>46281.63</v>
      </c>
      <c r="T18" s="2">
        <f t="shared" si="0"/>
        <v>0</v>
      </c>
      <c r="U18" s="2">
        <f t="shared" si="0"/>
        <v>290.2</v>
      </c>
      <c r="V18" s="2">
        <f t="shared" si="0"/>
        <v>0</v>
      </c>
      <c r="W18" s="2">
        <f t="shared" si="0"/>
        <v>0</v>
      </c>
      <c r="X18" s="2">
        <f t="shared" si="0"/>
        <v>47207.26</v>
      </c>
      <c r="Y18" s="2">
        <f t="shared" si="0"/>
        <v>20826.74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  <c r="AN18" s="2">
        <f t="shared" si="0"/>
        <v>0</v>
      </c>
      <c r="AO18" s="2">
        <f t="shared" si="0"/>
        <v>0</v>
      </c>
      <c r="AP18" s="2">
        <f t="shared" si="0"/>
        <v>0</v>
      </c>
      <c r="AQ18" s="2">
        <f t="shared" si="0"/>
        <v>0</v>
      </c>
    </row>
    <row r="19" ht="12.75">
      <c r="G19">
        <v>0</v>
      </c>
    </row>
    <row r="20" spans="1:67" ht="12.75">
      <c r="A20" s="1">
        <v>3</v>
      </c>
      <c r="B20" s="1">
        <v>1</v>
      </c>
      <c r="C20" s="1"/>
      <c r="D20" s="1">
        <f>ROW(A31)</f>
        <v>31</v>
      </c>
      <c r="E20" s="1"/>
      <c r="F20" s="1" t="s">
        <v>10</v>
      </c>
      <c r="G20" s="1" t="s">
        <v>10</v>
      </c>
      <c r="H20" s="1"/>
      <c r="I20" s="1"/>
      <c r="J20" s="1" t="s">
        <v>4</v>
      </c>
      <c r="K20" s="1"/>
      <c r="L20" s="1"/>
      <c r="M20" s="1"/>
      <c r="N20" s="1" t="s">
        <v>4</v>
      </c>
      <c r="O20" s="1"/>
      <c r="P20" s="1"/>
      <c r="Q20" s="1"/>
      <c r="R20" s="1" t="s">
        <v>4</v>
      </c>
      <c r="S20" s="1" t="s">
        <v>4</v>
      </c>
      <c r="T20" s="1" t="s">
        <v>4</v>
      </c>
      <c r="U20" s="1" t="s">
        <v>4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AN20" s="1"/>
      <c r="AO20" s="1" t="s">
        <v>4</v>
      </c>
      <c r="AP20" s="1" t="s">
        <v>4</v>
      </c>
      <c r="AQ20" s="1" t="s">
        <v>4</v>
      </c>
      <c r="AR20" s="1"/>
      <c r="AS20" s="1"/>
      <c r="AT20" s="1" t="s">
        <v>4</v>
      </c>
      <c r="AU20" s="1" t="s">
        <v>4</v>
      </c>
      <c r="AV20" s="1" t="s">
        <v>4</v>
      </c>
      <c r="AW20" s="1" t="s">
        <v>4</v>
      </c>
      <c r="AX20" s="1" t="s">
        <v>4</v>
      </c>
      <c r="AY20" s="1" t="s">
        <v>4</v>
      </c>
      <c r="AZ20" s="1" t="s">
        <v>4</v>
      </c>
      <c r="BA20" s="1" t="s">
        <v>4</v>
      </c>
      <c r="BB20" s="1" t="s">
        <v>4</v>
      </c>
      <c r="BC20" s="1" t="s">
        <v>4</v>
      </c>
      <c r="BD20" s="1" t="s">
        <v>4</v>
      </c>
      <c r="BE20" s="1" t="s">
        <v>11</v>
      </c>
      <c r="BF20" s="1">
        <v>0</v>
      </c>
      <c r="BG20" s="1">
        <v>0</v>
      </c>
      <c r="BH20" s="1" t="s">
        <v>4</v>
      </c>
      <c r="BI20" s="1" t="s">
        <v>4</v>
      </c>
      <c r="BJ20" s="1" t="s">
        <v>4</v>
      </c>
      <c r="BK20" s="1" t="s">
        <v>4</v>
      </c>
      <c r="BL20" s="1" t="s">
        <v>4</v>
      </c>
      <c r="BM20" s="1">
        <v>0</v>
      </c>
      <c r="BN20" s="1" t="s">
        <v>4</v>
      </c>
      <c r="BO20" s="1" t="s">
        <v>4</v>
      </c>
    </row>
    <row r="22" spans="1:43" ht="12.75">
      <c r="A22" s="2">
        <v>52</v>
      </c>
      <c r="B22" s="2">
        <f aca="true" t="shared" si="1" ref="B22:AQ22">B31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Новая локальная смета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209332.96</v>
      </c>
      <c r="P22" s="2">
        <f t="shared" si="1"/>
        <v>161837.21</v>
      </c>
      <c r="Q22" s="2">
        <f t="shared" si="1"/>
        <v>1214.12</v>
      </c>
      <c r="R22" s="2">
        <f t="shared" si="1"/>
        <v>297.45</v>
      </c>
      <c r="S22" s="2">
        <f t="shared" si="1"/>
        <v>46281.63</v>
      </c>
      <c r="T22" s="2">
        <f t="shared" si="1"/>
        <v>0</v>
      </c>
      <c r="U22" s="2">
        <f t="shared" si="1"/>
        <v>290.2</v>
      </c>
      <c r="V22" s="2">
        <f t="shared" si="1"/>
        <v>0</v>
      </c>
      <c r="W22" s="2">
        <f t="shared" si="1"/>
        <v>0</v>
      </c>
      <c r="X22" s="2">
        <f t="shared" si="1"/>
        <v>47207.26</v>
      </c>
      <c r="Y22" s="2">
        <f t="shared" si="1"/>
        <v>20826.74</v>
      </c>
      <c r="Z22" s="2">
        <f t="shared" si="1"/>
        <v>0</v>
      </c>
      <c r="AA22" s="2">
        <f t="shared" si="1"/>
        <v>0</v>
      </c>
      <c r="AB22" s="2">
        <f t="shared" si="1"/>
        <v>209332.96</v>
      </c>
      <c r="AC22" s="2">
        <f t="shared" si="1"/>
        <v>161837.21</v>
      </c>
      <c r="AD22" s="2">
        <f t="shared" si="1"/>
        <v>1214.12</v>
      </c>
      <c r="AE22" s="2">
        <f t="shared" si="1"/>
        <v>297.45</v>
      </c>
      <c r="AF22" s="2">
        <f t="shared" si="1"/>
        <v>46281.63</v>
      </c>
      <c r="AG22" s="2">
        <f t="shared" si="1"/>
        <v>0</v>
      </c>
      <c r="AH22" s="2">
        <f t="shared" si="1"/>
        <v>290.2</v>
      </c>
      <c r="AI22" s="2">
        <f t="shared" si="1"/>
        <v>0</v>
      </c>
      <c r="AJ22" s="2">
        <f t="shared" si="1"/>
        <v>0</v>
      </c>
      <c r="AK22" s="2">
        <f t="shared" si="1"/>
        <v>47207.26</v>
      </c>
      <c r="AL22" s="2">
        <f t="shared" si="1"/>
        <v>20826.74</v>
      </c>
      <c r="AM22" s="2">
        <f t="shared" si="1"/>
        <v>0</v>
      </c>
      <c r="AN22" s="2">
        <f t="shared" si="1"/>
        <v>0</v>
      </c>
      <c r="AO22" s="2">
        <f t="shared" si="1"/>
        <v>0</v>
      </c>
      <c r="AP22" s="2">
        <f t="shared" si="1"/>
        <v>0</v>
      </c>
      <c r="AQ22" s="2">
        <f t="shared" si="1"/>
        <v>0</v>
      </c>
    </row>
    <row r="24" spans="1:181" ht="12.75">
      <c r="A24">
        <v>17</v>
      </c>
      <c r="B24">
        <v>1</v>
      </c>
      <c r="C24">
        <f>ROW(SmtRes!A24)</f>
        <v>24</v>
      </c>
      <c r="D24">
        <f>ROW(EtalonRes!A23)</f>
        <v>23</v>
      </c>
      <c r="E24" t="s">
        <v>12</v>
      </c>
      <c r="F24" t="s">
        <v>13</v>
      </c>
      <c r="G24" t="s">
        <v>14</v>
      </c>
      <c r="H24" t="s">
        <v>15</v>
      </c>
      <c r="I24">
        <v>0.171</v>
      </c>
      <c r="J24">
        <v>0</v>
      </c>
      <c r="O24">
        <f aca="true" t="shared" si="2" ref="O24:O29">ROUND(CP24,2)</f>
        <v>23799.33</v>
      </c>
      <c r="P24">
        <f aca="true" t="shared" si="3" ref="P24:P29">ROUND(CQ24*I24,2)</f>
        <v>13889.25</v>
      </c>
      <c r="Q24">
        <f aca="true" t="shared" si="4" ref="Q24:Q29">ROUND(CR24*I24,2)</f>
        <v>556.89</v>
      </c>
      <c r="R24">
        <f aca="true" t="shared" si="5" ref="R24:R29">ROUND(CS24*I24,2)</f>
        <v>236.9</v>
      </c>
      <c r="S24">
        <f aca="true" t="shared" si="6" ref="S24:S29">ROUND(CT24*I24,2)</f>
        <v>9353.19</v>
      </c>
      <c r="T24">
        <f aca="true" t="shared" si="7" ref="T24:T29">ROUND(CU24*I24,2)</f>
        <v>0</v>
      </c>
      <c r="U24">
        <f aca="true" t="shared" si="8" ref="U24:U29">CV24*I24</f>
        <v>54.693296981999985</v>
      </c>
      <c r="V24">
        <f aca="true" t="shared" si="9" ref="V24:V29">CW24*I24</f>
        <v>0</v>
      </c>
      <c r="W24">
        <f aca="true" t="shared" si="10" ref="W24:W29">ROUND(CX24*I24,2)</f>
        <v>0</v>
      </c>
      <c r="X24">
        <f aca="true" t="shared" si="11" ref="X24:Y29">ROUND(CY24,2)</f>
        <v>9540.25</v>
      </c>
      <c r="Y24">
        <f t="shared" si="11"/>
        <v>4208.94</v>
      </c>
      <c r="AA24">
        <v>0</v>
      </c>
      <c r="AB24">
        <f aca="true" t="shared" si="12" ref="AB24:AB29">(AC24+AD24+AF24)</f>
        <v>31421.376000000004</v>
      </c>
      <c r="AC24">
        <f>(ES24)</f>
        <v>26903.9</v>
      </c>
      <c r="AD24">
        <f>((ET24*1.15))</f>
        <v>403.96049999999997</v>
      </c>
      <c r="AE24">
        <f>((EU24*1.15))</f>
        <v>104.18999999999998</v>
      </c>
      <c r="AF24">
        <f>((EV24*1.15))</f>
        <v>4113.5154999999995</v>
      </c>
      <c r="AG24">
        <f>(AP24)</f>
        <v>0</v>
      </c>
      <c r="AH24">
        <f>((EW24*1.15))</f>
        <v>305.48599999999993</v>
      </c>
      <c r="AI24">
        <f>((EX24*1.15))</f>
        <v>0</v>
      </c>
      <c r="AJ24">
        <f>(AS24)</f>
        <v>0</v>
      </c>
      <c r="AK24">
        <v>30832.140000000003</v>
      </c>
      <c r="AL24">
        <v>26903.9</v>
      </c>
      <c r="AM24">
        <v>351.27</v>
      </c>
      <c r="AN24">
        <v>90.6</v>
      </c>
      <c r="AO24">
        <v>3576.97</v>
      </c>
      <c r="AP24">
        <v>0</v>
      </c>
      <c r="AQ24">
        <v>265.64</v>
      </c>
      <c r="AR24">
        <v>0</v>
      </c>
      <c r="AS24">
        <v>0</v>
      </c>
      <c r="AT24">
        <v>102</v>
      </c>
      <c r="AU24">
        <v>45</v>
      </c>
      <c r="AV24">
        <v>1.047</v>
      </c>
      <c r="AW24">
        <v>1.003</v>
      </c>
      <c r="AX24">
        <v>1</v>
      </c>
      <c r="AY24">
        <v>1</v>
      </c>
      <c r="AZ24">
        <v>12.7</v>
      </c>
      <c r="BA24">
        <v>12.7</v>
      </c>
      <c r="BB24">
        <v>7.7</v>
      </c>
      <c r="BC24">
        <v>3.01</v>
      </c>
      <c r="BH24">
        <v>0</v>
      </c>
      <c r="BI24">
        <v>1</v>
      </c>
      <c r="BJ24" t="s">
        <v>16</v>
      </c>
      <c r="BM24">
        <v>1382</v>
      </c>
      <c r="BN24">
        <v>0</v>
      </c>
      <c r="BO24" t="s">
        <v>13</v>
      </c>
      <c r="BP24">
        <v>1</v>
      </c>
      <c r="BQ24">
        <v>30</v>
      </c>
      <c r="BR24">
        <v>0</v>
      </c>
      <c r="BS24">
        <v>12.7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102</v>
      </c>
      <c r="CA24">
        <v>45</v>
      </c>
      <c r="CF24">
        <v>0</v>
      </c>
      <c r="CG24">
        <v>0</v>
      </c>
      <c r="CM24">
        <v>0</v>
      </c>
      <c r="CO24">
        <v>0</v>
      </c>
      <c r="CP24">
        <f aca="true" t="shared" si="13" ref="CP24:CP29">(P24+Q24+S24)</f>
        <v>23799.33</v>
      </c>
      <c r="CQ24">
        <f aca="true" t="shared" si="14" ref="CQ24:CQ29">((AC24*AW24))*BC24</f>
        <v>81223.68121699999</v>
      </c>
      <c r="CR24">
        <f aca="true" t="shared" si="15" ref="CR24:CR29">((AD24*AV24))*BB24</f>
        <v>3256.6891549499996</v>
      </c>
      <c r="CS24">
        <f aca="true" t="shared" si="16" ref="CS24:CS29">((AE24*AV24))*BS24</f>
        <v>1385.4040109999996</v>
      </c>
      <c r="CT24">
        <f aca="true" t="shared" si="17" ref="CT24:CT29">((AF24*AV24))*BA24</f>
        <v>54697.00425194999</v>
      </c>
      <c r="CU24">
        <f aca="true" t="shared" si="18" ref="CU24:CU29">(AG24)*BT24</f>
        <v>0</v>
      </c>
      <c r="CV24">
        <f aca="true" t="shared" si="19" ref="CV24:CV29">((AH24*AV24))*BU24</f>
        <v>319.8438419999999</v>
      </c>
      <c r="CW24">
        <f aca="true" t="shared" si="20" ref="CW24:CX29">(AI24)*BV24</f>
        <v>0</v>
      </c>
      <c r="CX24">
        <f t="shared" si="20"/>
        <v>0</v>
      </c>
      <c r="CY24">
        <f aca="true" t="shared" si="21" ref="CY24:CY29">S24*(BZ24/100)</f>
        <v>9540.2538</v>
      </c>
      <c r="CZ24">
        <f aca="true" t="shared" si="22" ref="CZ24:CZ29">S24*(CA24/100)</f>
        <v>4208.9355000000005</v>
      </c>
      <c r="DE24" t="s">
        <v>17</v>
      </c>
      <c r="DF24" t="s">
        <v>17</v>
      </c>
      <c r="DG24" t="s">
        <v>17</v>
      </c>
      <c r="DI24" t="s">
        <v>17</v>
      </c>
      <c r="DJ24" t="s">
        <v>17</v>
      </c>
      <c r="DN24">
        <v>120</v>
      </c>
      <c r="DO24">
        <v>84</v>
      </c>
      <c r="DP24">
        <v>1.047</v>
      </c>
      <c r="DQ24">
        <v>1.003</v>
      </c>
      <c r="DR24">
        <v>1</v>
      </c>
      <c r="DS24">
        <v>1</v>
      </c>
      <c r="DT24">
        <v>1</v>
      </c>
      <c r="DU24">
        <v>1005</v>
      </c>
      <c r="DV24" t="s">
        <v>15</v>
      </c>
      <c r="DW24" t="s">
        <v>15</v>
      </c>
      <c r="DX24">
        <v>100</v>
      </c>
      <c r="EE24">
        <v>9204922</v>
      </c>
      <c r="EF24">
        <v>30</v>
      </c>
      <c r="EG24" t="s">
        <v>18</v>
      </c>
      <c r="EH24">
        <v>0</v>
      </c>
      <c r="EJ24">
        <v>1</v>
      </c>
      <c r="EK24">
        <v>1382</v>
      </c>
      <c r="EL24" t="s">
        <v>19</v>
      </c>
      <c r="EM24" t="s">
        <v>20</v>
      </c>
      <c r="EQ24">
        <v>64</v>
      </c>
      <c r="ER24">
        <v>30832.14</v>
      </c>
      <c r="ES24">
        <v>26903.9</v>
      </c>
      <c r="ET24">
        <v>351.27</v>
      </c>
      <c r="EU24">
        <v>90.6</v>
      </c>
      <c r="EV24">
        <v>3576.97</v>
      </c>
      <c r="EW24">
        <v>265.64</v>
      </c>
      <c r="EX24">
        <v>0</v>
      </c>
      <c r="EY24">
        <v>0</v>
      </c>
      <c r="EZ24">
        <v>0</v>
      </c>
      <c r="FQ24">
        <v>0</v>
      </c>
      <c r="FR24">
        <f aca="true" t="shared" si="23" ref="FR24:FR29">ROUND(IF(AND(AA24=0,BI24=3),P24,0),2)</f>
        <v>0</v>
      </c>
      <c r="FS24">
        <v>0</v>
      </c>
      <c r="FX24">
        <v>102</v>
      </c>
      <c r="FY24">
        <v>45</v>
      </c>
    </row>
    <row r="25" spans="1:181" ht="12.75">
      <c r="A25">
        <v>18</v>
      </c>
      <c r="B25">
        <v>1</v>
      </c>
      <c r="C25">
        <v>24</v>
      </c>
      <c r="E25" t="s">
        <v>21</v>
      </c>
      <c r="F25" t="s">
        <v>22</v>
      </c>
      <c r="G25" t="s">
        <v>23</v>
      </c>
      <c r="H25" t="s">
        <v>24</v>
      </c>
      <c r="I25">
        <f>I24*J25</f>
        <v>17.1</v>
      </c>
      <c r="J25">
        <v>100</v>
      </c>
      <c r="O25">
        <f t="shared" si="2"/>
        <v>26163</v>
      </c>
      <c r="P25">
        <f t="shared" si="3"/>
        <v>26163</v>
      </c>
      <c r="Q25">
        <f t="shared" si="4"/>
        <v>0</v>
      </c>
      <c r="R25">
        <f t="shared" si="5"/>
        <v>0</v>
      </c>
      <c r="S25">
        <f t="shared" si="6"/>
        <v>0</v>
      </c>
      <c r="T25">
        <f t="shared" si="7"/>
        <v>0</v>
      </c>
      <c r="U25">
        <f t="shared" si="8"/>
        <v>0</v>
      </c>
      <c r="V25">
        <f t="shared" si="9"/>
        <v>0</v>
      </c>
      <c r="W25">
        <f t="shared" si="10"/>
        <v>0</v>
      </c>
      <c r="X25">
        <f t="shared" si="11"/>
        <v>0</v>
      </c>
      <c r="Y25">
        <f t="shared" si="11"/>
        <v>0</v>
      </c>
      <c r="AA25">
        <v>0</v>
      </c>
      <c r="AB25">
        <f t="shared" si="12"/>
        <v>1525.4237288135594</v>
      </c>
      <c r="AC25">
        <f>(AL25/1.18)</f>
        <v>1525.4237288135594</v>
      </c>
      <c r="AD25">
        <f aca="true" t="shared" si="24" ref="AD25:AJ25">AM25</f>
        <v>0</v>
      </c>
      <c r="AE25">
        <f t="shared" si="24"/>
        <v>0</v>
      </c>
      <c r="AF25">
        <f t="shared" si="24"/>
        <v>0</v>
      </c>
      <c r="AG25">
        <f t="shared" si="24"/>
        <v>0</v>
      </c>
      <c r="AH25">
        <f t="shared" si="24"/>
        <v>0</v>
      </c>
      <c r="AI25">
        <f t="shared" si="24"/>
        <v>0</v>
      </c>
      <c r="AJ25">
        <f t="shared" si="24"/>
        <v>0</v>
      </c>
      <c r="AK25">
        <v>1800</v>
      </c>
      <c r="AL25">
        <v>1800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1</v>
      </c>
      <c r="AW25">
        <v>1.003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H25">
        <v>3</v>
      </c>
      <c r="BI25">
        <v>1</v>
      </c>
      <c r="BM25">
        <v>1382</v>
      </c>
      <c r="BN25">
        <v>0</v>
      </c>
      <c r="BP25">
        <v>0</v>
      </c>
      <c r="BQ25">
        <v>30</v>
      </c>
      <c r="BR25">
        <v>0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0</v>
      </c>
      <c r="CA25">
        <v>0</v>
      </c>
      <c r="CF25">
        <v>0</v>
      </c>
      <c r="CG25">
        <v>0</v>
      </c>
      <c r="CM25">
        <v>0</v>
      </c>
      <c r="CO25">
        <v>0</v>
      </c>
      <c r="CP25">
        <f t="shared" si="13"/>
        <v>26163</v>
      </c>
      <c r="CQ25">
        <f t="shared" si="14"/>
        <v>1529.9999999999998</v>
      </c>
      <c r="CR25">
        <f t="shared" si="15"/>
        <v>0</v>
      </c>
      <c r="CS25">
        <f t="shared" si="16"/>
        <v>0</v>
      </c>
      <c r="CT25">
        <f t="shared" si="17"/>
        <v>0</v>
      </c>
      <c r="CU25">
        <f t="shared" si="18"/>
        <v>0</v>
      </c>
      <c r="CV25">
        <f t="shared" si="19"/>
        <v>0</v>
      </c>
      <c r="CW25">
        <f t="shared" si="20"/>
        <v>0</v>
      </c>
      <c r="CX25">
        <f t="shared" si="20"/>
        <v>0</v>
      </c>
      <c r="CY25">
        <f t="shared" si="21"/>
        <v>0</v>
      </c>
      <c r="CZ25">
        <f t="shared" si="22"/>
        <v>0</v>
      </c>
      <c r="DD25" t="s">
        <v>25</v>
      </c>
      <c r="DN25">
        <v>120</v>
      </c>
      <c r="DO25">
        <v>84</v>
      </c>
      <c r="DP25">
        <v>1.047</v>
      </c>
      <c r="DQ25">
        <v>1.003</v>
      </c>
      <c r="DR25">
        <v>1</v>
      </c>
      <c r="DS25">
        <v>1</v>
      </c>
      <c r="DT25">
        <v>1</v>
      </c>
      <c r="DU25">
        <v>1005</v>
      </c>
      <c r="DV25" t="s">
        <v>24</v>
      </c>
      <c r="DW25" t="s">
        <v>24</v>
      </c>
      <c r="DX25">
        <v>1</v>
      </c>
      <c r="EE25">
        <v>9204922</v>
      </c>
      <c r="EF25">
        <v>30</v>
      </c>
      <c r="EG25" t="s">
        <v>18</v>
      </c>
      <c r="EH25">
        <v>0</v>
      </c>
      <c r="EJ25">
        <v>1</v>
      </c>
      <c r="EK25">
        <v>1382</v>
      </c>
      <c r="EL25" t="s">
        <v>19</v>
      </c>
      <c r="EM25" t="s">
        <v>20</v>
      </c>
      <c r="EQ25">
        <v>0</v>
      </c>
      <c r="ER25">
        <v>1800</v>
      </c>
      <c r="ES25">
        <v>1800</v>
      </c>
      <c r="ET25">
        <v>0</v>
      </c>
      <c r="EU25">
        <v>0</v>
      </c>
      <c r="EV25">
        <v>0</v>
      </c>
      <c r="EW25">
        <v>0</v>
      </c>
      <c r="EX25">
        <v>0</v>
      </c>
      <c r="EZ25">
        <v>0</v>
      </c>
      <c r="FQ25">
        <v>0</v>
      </c>
      <c r="FR25">
        <f t="shared" si="23"/>
        <v>0</v>
      </c>
      <c r="FS25">
        <v>0</v>
      </c>
      <c r="FX25">
        <v>0</v>
      </c>
      <c r="FY25">
        <v>0</v>
      </c>
    </row>
    <row r="26" spans="1:181" ht="12.75">
      <c r="A26">
        <v>17</v>
      </c>
      <c r="B26">
        <v>1</v>
      </c>
      <c r="C26">
        <f>ROW(SmtRes!A38)</f>
        <v>38</v>
      </c>
      <c r="D26">
        <f>ROW(EtalonRes!A36)</f>
        <v>36</v>
      </c>
      <c r="E26" t="s">
        <v>26</v>
      </c>
      <c r="F26" t="s">
        <v>27</v>
      </c>
      <c r="G26" t="s">
        <v>28</v>
      </c>
      <c r="H26" t="s">
        <v>15</v>
      </c>
      <c r="I26">
        <v>0.134</v>
      </c>
      <c r="J26">
        <v>0</v>
      </c>
      <c r="O26">
        <f t="shared" si="2"/>
        <v>16379.28</v>
      </c>
      <c r="P26">
        <f t="shared" si="3"/>
        <v>9840.05</v>
      </c>
      <c r="Q26">
        <f t="shared" si="4"/>
        <v>138.13</v>
      </c>
      <c r="R26">
        <f t="shared" si="5"/>
        <v>9.57</v>
      </c>
      <c r="S26">
        <f t="shared" si="6"/>
        <v>6401.1</v>
      </c>
      <c r="T26">
        <f t="shared" si="7"/>
        <v>0</v>
      </c>
      <c r="U26">
        <f t="shared" si="8"/>
        <v>41.471527608</v>
      </c>
      <c r="V26">
        <f t="shared" si="9"/>
        <v>0</v>
      </c>
      <c r="W26">
        <f t="shared" si="10"/>
        <v>0</v>
      </c>
      <c r="X26">
        <f t="shared" si="11"/>
        <v>6529.12</v>
      </c>
      <c r="Y26">
        <f t="shared" si="11"/>
        <v>2880.5</v>
      </c>
      <c r="AA26">
        <v>0</v>
      </c>
      <c r="AB26">
        <f t="shared" si="12"/>
        <v>17426.4525</v>
      </c>
      <c r="AC26">
        <f>(ES26)</f>
        <v>13710.4</v>
      </c>
      <c r="AD26">
        <f>((ET26*1.15))</f>
        <v>123.53299999999999</v>
      </c>
      <c r="AE26">
        <f>((EU26*1.15))</f>
        <v>5.3705</v>
      </c>
      <c r="AF26">
        <f>((EV26*1.15))</f>
        <v>3592.5194999999994</v>
      </c>
      <c r="AG26">
        <f>(AP26)</f>
        <v>0</v>
      </c>
      <c r="AH26">
        <f>((EW26*1.15))</f>
        <v>295.596</v>
      </c>
      <c r="AI26">
        <f>((EX26*1.15))</f>
        <v>0</v>
      </c>
      <c r="AJ26">
        <f>(AS26)</f>
        <v>0</v>
      </c>
      <c r="AK26">
        <v>16941.75</v>
      </c>
      <c r="AL26">
        <v>13710.4</v>
      </c>
      <c r="AM26">
        <v>107.42</v>
      </c>
      <c r="AN26">
        <v>4.67</v>
      </c>
      <c r="AO26">
        <v>3123.93</v>
      </c>
      <c r="AP26">
        <v>0</v>
      </c>
      <c r="AQ26">
        <v>257.04</v>
      </c>
      <c r="AR26">
        <v>0</v>
      </c>
      <c r="AS26">
        <v>0</v>
      </c>
      <c r="AT26">
        <v>102</v>
      </c>
      <c r="AU26">
        <v>45</v>
      </c>
      <c r="AV26">
        <v>1.047</v>
      </c>
      <c r="AW26">
        <v>1.003</v>
      </c>
      <c r="AX26">
        <v>1</v>
      </c>
      <c r="AY26">
        <v>1</v>
      </c>
      <c r="AZ26">
        <v>12.7</v>
      </c>
      <c r="BA26">
        <v>12.7</v>
      </c>
      <c r="BB26">
        <v>7.97</v>
      </c>
      <c r="BC26">
        <v>5.34</v>
      </c>
      <c r="BH26">
        <v>0</v>
      </c>
      <c r="BI26">
        <v>1</v>
      </c>
      <c r="BJ26" t="s">
        <v>29</v>
      </c>
      <c r="BM26">
        <v>122</v>
      </c>
      <c r="BN26">
        <v>0</v>
      </c>
      <c r="BO26" t="s">
        <v>27</v>
      </c>
      <c r="BP26">
        <v>1</v>
      </c>
      <c r="BQ26">
        <v>30</v>
      </c>
      <c r="BR26">
        <v>0</v>
      </c>
      <c r="BS26">
        <v>12.7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102</v>
      </c>
      <c r="CA26">
        <v>45</v>
      </c>
      <c r="CF26">
        <v>0</v>
      </c>
      <c r="CG26">
        <v>0</v>
      </c>
      <c r="CM26">
        <v>0</v>
      </c>
      <c r="CO26">
        <v>0</v>
      </c>
      <c r="CP26">
        <f t="shared" si="13"/>
        <v>16379.279999999999</v>
      </c>
      <c r="CQ26">
        <f t="shared" si="14"/>
        <v>73433.17660799998</v>
      </c>
      <c r="CR26">
        <f t="shared" si="15"/>
        <v>1030.8322364699998</v>
      </c>
      <c r="CS26">
        <f t="shared" si="16"/>
        <v>71.41100144999999</v>
      </c>
      <c r="CT26">
        <f t="shared" si="17"/>
        <v>47769.372539549986</v>
      </c>
      <c r="CU26">
        <f t="shared" si="18"/>
        <v>0</v>
      </c>
      <c r="CV26">
        <f t="shared" si="19"/>
        <v>309.489012</v>
      </c>
      <c r="CW26">
        <f t="shared" si="20"/>
        <v>0</v>
      </c>
      <c r="CX26">
        <f t="shared" si="20"/>
        <v>0</v>
      </c>
      <c r="CY26">
        <f t="shared" si="21"/>
        <v>6529.122</v>
      </c>
      <c r="CZ26">
        <f t="shared" si="22"/>
        <v>2880.4950000000003</v>
      </c>
      <c r="DE26" t="s">
        <v>17</v>
      </c>
      <c r="DF26" t="s">
        <v>17</v>
      </c>
      <c r="DG26" t="s">
        <v>17</v>
      </c>
      <c r="DI26" t="s">
        <v>17</v>
      </c>
      <c r="DJ26" t="s">
        <v>17</v>
      </c>
      <c r="DN26">
        <v>120</v>
      </c>
      <c r="DO26">
        <v>84</v>
      </c>
      <c r="DP26">
        <v>1.047</v>
      </c>
      <c r="DQ26">
        <v>1.003</v>
      </c>
      <c r="DR26">
        <v>1</v>
      </c>
      <c r="DS26">
        <v>1</v>
      </c>
      <c r="DT26">
        <v>1</v>
      </c>
      <c r="DU26">
        <v>1005</v>
      </c>
      <c r="DV26" t="s">
        <v>15</v>
      </c>
      <c r="DW26" t="s">
        <v>15</v>
      </c>
      <c r="DX26">
        <v>100</v>
      </c>
      <c r="EE26">
        <v>9203662</v>
      </c>
      <c r="EF26">
        <v>30</v>
      </c>
      <c r="EG26" t="s">
        <v>18</v>
      </c>
      <c r="EH26">
        <v>0</v>
      </c>
      <c r="EJ26">
        <v>1</v>
      </c>
      <c r="EK26">
        <v>122</v>
      </c>
      <c r="EL26" t="s">
        <v>30</v>
      </c>
      <c r="EM26" t="s">
        <v>31</v>
      </c>
      <c r="EQ26">
        <v>64</v>
      </c>
      <c r="ER26">
        <v>16941.75</v>
      </c>
      <c r="ES26">
        <v>13710.4</v>
      </c>
      <c r="ET26">
        <v>107.42</v>
      </c>
      <c r="EU26">
        <v>4.67</v>
      </c>
      <c r="EV26">
        <v>3123.93</v>
      </c>
      <c r="EW26">
        <v>257.04</v>
      </c>
      <c r="EX26">
        <v>0</v>
      </c>
      <c r="EY26">
        <v>0</v>
      </c>
      <c r="EZ26">
        <v>0</v>
      </c>
      <c r="FQ26">
        <v>0</v>
      </c>
      <c r="FR26">
        <f t="shared" si="23"/>
        <v>0</v>
      </c>
      <c r="FS26">
        <v>0</v>
      </c>
      <c r="FX26">
        <v>102</v>
      </c>
      <c r="FY26">
        <v>45</v>
      </c>
    </row>
    <row r="27" spans="1:181" ht="12.75">
      <c r="A27">
        <v>18</v>
      </c>
      <c r="B27">
        <v>1</v>
      </c>
      <c r="C27">
        <v>38</v>
      </c>
      <c r="E27" t="s">
        <v>32</v>
      </c>
      <c r="F27" t="s">
        <v>22</v>
      </c>
      <c r="G27" t="s">
        <v>23</v>
      </c>
      <c r="H27" t="s">
        <v>24</v>
      </c>
      <c r="I27">
        <f>I26*J27</f>
        <v>7.236</v>
      </c>
      <c r="J27">
        <v>53.99999999999999</v>
      </c>
      <c r="O27">
        <f t="shared" si="2"/>
        <v>11071.08</v>
      </c>
      <c r="P27">
        <f t="shared" si="3"/>
        <v>11071.08</v>
      </c>
      <c r="Q27">
        <f t="shared" si="4"/>
        <v>0</v>
      </c>
      <c r="R27">
        <f t="shared" si="5"/>
        <v>0</v>
      </c>
      <c r="S27">
        <f t="shared" si="6"/>
        <v>0</v>
      </c>
      <c r="T27">
        <f t="shared" si="7"/>
        <v>0</v>
      </c>
      <c r="U27">
        <f t="shared" si="8"/>
        <v>0</v>
      </c>
      <c r="V27">
        <f t="shared" si="9"/>
        <v>0</v>
      </c>
      <c r="W27">
        <f t="shared" si="10"/>
        <v>0</v>
      </c>
      <c r="X27">
        <f t="shared" si="11"/>
        <v>0</v>
      </c>
      <c r="Y27">
        <f t="shared" si="11"/>
        <v>0</v>
      </c>
      <c r="AA27">
        <v>0</v>
      </c>
      <c r="AB27">
        <f t="shared" si="12"/>
        <v>1525.4237288135594</v>
      </c>
      <c r="AC27">
        <f>(AL27/1.18)</f>
        <v>1525.4237288135594</v>
      </c>
      <c r="AD27">
        <f aca="true" t="shared" si="25" ref="AD27:AJ27">AM27</f>
        <v>0</v>
      </c>
      <c r="AE27">
        <f t="shared" si="25"/>
        <v>0</v>
      </c>
      <c r="AF27">
        <f t="shared" si="25"/>
        <v>0</v>
      </c>
      <c r="AG27">
        <f t="shared" si="25"/>
        <v>0</v>
      </c>
      <c r="AH27">
        <f t="shared" si="25"/>
        <v>0</v>
      </c>
      <c r="AI27">
        <f t="shared" si="25"/>
        <v>0</v>
      </c>
      <c r="AJ27">
        <f t="shared" si="25"/>
        <v>0</v>
      </c>
      <c r="AK27">
        <v>1800</v>
      </c>
      <c r="AL27">
        <v>1800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1</v>
      </c>
      <c r="AW27">
        <v>1.003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1</v>
      </c>
      <c r="BH27">
        <v>3</v>
      </c>
      <c r="BI27">
        <v>1</v>
      </c>
      <c r="BM27">
        <v>1382</v>
      </c>
      <c r="BN27">
        <v>0</v>
      </c>
      <c r="BP27">
        <v>0</v>
      </c>
      <c r="BQ27">
        <v>30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0</v>
      </c>
      <c r="CA27">
        <v>0</v>
      </c>
      <c r="CF27">
        <v>0</v>
      </c>
      <c r="CG27">
        <v>0</v>
      </c>
      <c r="CM27">
        <v>0</v>
      </c>
      <c r="CO27">
        <v>0</v>
      </c>
      <c r="CP27">
        <f t="shared" si="13"/>
        <v>11071.08</v>
      </c>
      <c r="CQ27">
        <f t="shared" si="14"/>
        <v>1529.9999999999998</v>
      </c>
      <c r="CR27">
        <f t="shared" si="15"/>
        <v>0</v>
      </c>
      <c r="CS27">
        <f t="shared" si="16"/>
        <v>0</v>
      </c>
      <c r="CT27">
        <f t="shared" si="17"/>
        <v>0</v>
      </c>
      <c r="CU27">
        <f t="shared" si="18"/>
        <v>0</v>
      </c>
      <c r="CV27">
        <f t="shared" si="19"/>
        <v>0</v>
      </c>
      <c r="CW27">
        <f t="shared" si="20"/>
        <v>0</v>
      </c>
      <c r="CX27">
        <f t="shared" si="20"/>
        <v>0</v>
      </c>
      <c r="CY27">
        <f t="shared" si="21"/>
        <v>0</v>
      </c>
      <c r="CZ27">
        <f t="shared" si="22"/>
        <v>0</v>
      </c>
      <c r="DD27" t="s">
        <v>25</v>
      </c>
      <c r="DN27">
        <v>120</v>
      </c>
      <c r="DO27">
        <v>84</v>
      </c>
      <c r="DP27">
        <v>1.047</v>
      </c>
      <c r="DQ27">
        <v>1.003</v>
      </c>
      <c r="DR27">
        <v>1</v>
      </c>
      <c r="DS27">
        <v>1</v>
      </c>
      <c r="DT27">
        <v>1</v>
      </c>
      <c r="DU27">
        <v>1005</v>
      </c>
      <c r="DV27" t="s">
        <v>24</v>
      </c>
      <c r="DW27" t="s">
        <v>24</v>
      </c>
      <c r="DX27">
        <v>1</v>
      </c>
      <c r="EE27">
        <v>9204922</v>
      </c>
      <c r="EF27">
        <v>30</v>
      </c>
      <c r="EG27" t="s">
        <v>18</v>
      </c>
      <c r="EH27">
        <v>0</v>
      </c>
      <c r="EJ27">
        <v>1</v>
      </c>
      <c r="EK27">
        <v>1382</v>
      </c>
      <c r="EL27" t="s">
        <v>19</v>
      </c>
      <c r="EM27" t="s">
        <v>20</v>
      </c>
      <c r="EQ27">
        <v>0</v>
      </c>
      <c r="ER27">
        <v>1800</v>
      </c>
      <c r="ES27">
        <v>1800</v>
      </c>
      <c r="ET27">
        <v>0</v>
      </c>
      <c r="EU27">
        <v>0</v>
      </c>
      <c r="EV27">
        <v>0</v>
      </c>
      <c r="EW27">
        <v>0</v>
      </c>
      <c r="EX27">
        <v>0</v>
      </c>
      <c r="EZ27">
        <v>0</v>
      </c>
      <c r="FQ27">
        <v>0</v>
      </c>
      <c r="FR27">
        <f t="shared" si="23"/>
        <v>0</v>
      </c>
      <c r="FS27">
        <v>0</v>
      </c>
      <c r="FX27">
        <v>0</v>
      </c>
      <c r="FY27">
        <v>0</v>
      </c>
    </row>
    <row r="28" spans="1:181" ht="12.75">
      <c r="A28">
        <v>17</v>
      </c>
      <c r="B28">
        <v>1</v>
      </c>
      <c r="C28">
        <f>ROW(SmtRes!A61)</f>
        <v>61</v>
      </c>
      <c r="D28">
        <f>ROW(EtalonRes!A58)</f>
        <v>58</v>
      </c>
      <c r="E28" t="s">
        <v>33</v>
      </c>
      <c r="F28" t="s">
        <v>34</v>
      </c>
      <c r="G28" t="s">
        <v>35</v>
      </c>
      <c r="H28" t="s">
        <v>15</v>
      </c>
      <c r="I28">
        <v>0.3402</v>
      </c>
      <c r="J28">
        <v>0</v>
      </c>
      <c r="O28">
        <f t="shared" si="2"/>
        <v>72062.08</v>
      </c>
      <c r="P28">
        <f t="shared" si="3"/>
        <v>41015.64</v>
      </c>
      <c r="Q28">
        <f t="shared" si="4"/>
        <v>519.1</v>
      </c>
      <c r="R28">
        <f t="shared" si="5"/>
        <v>50.98</v>
      </c>
      <c r="S28">
        <f t="shared" si="6"/>
        <v>30527.34</v>
      </c>
      <c r="T28">
        <f t="shared" si="7"/>
        <v>0</v>
      </c>
      <c r="U28">
        <f t="shared" si="8"/>
        <v>194.04005277509995</v>
      </c>
      <c r="V28">
        <f t="shared" si="9"/>
        <v>0</v>
      </c>
      <c r="W28">
        <f t="shared" si="10"/>
        <v>0</v>
      </c>
      <c r="X28">
        <f t="shared" si="11"/>
        <v>31137.89</v>
      </c>
      <c r="Y28">
        <f t="shared" si="11"/>
        <v>13737.3</v>
      </c>
      <c r="AA28">
        <v>0</v>
      </c>
      <c r="AB28">
        <f t="shared" si="12"/>
        <v>45762.8265</v>
      </c>
      <c r="AC28">
        <f>(ES28)</f>
        <v>38775.07</v>
      </c>
      <c r="AD28">
        <f>((ET28*1.15))</f>
        <v>239.30349999999999</v>
      </c>
      <c r="AE28">
        <f>((EU28*1.15))</f>
        <v>11.27</v>
      </c>
      <c r="AF28">
        <f>((EV28*1.15))</f>
        <v>6748.4529999999995</v>
      </c>
      <c r="AG28">
        <f>(AP28)</f>
        <v>0</v>
      </c>
      <c r="AH28">
        <f>((EW28*1.15))</f>
        <v>544.7665</v>
      </c>
      <c r="AI28">
        <f>((EX28*1.15))</f>
        <v>0</v>
      </c>
      <c r="AJ28">
        <f>(AS28)</f>
        <v>0</v>
      </c>
      <c r="AK28">
        <v>44851.38</v>
      </c>
      <c r="AL28">
        <v>38775.07</v>
      </c>
      <c r="AM28">
        <v>208.09</v>
      </c>
      <c r="AN28">
        <v>9.8</v>
      </c>
      <c r="AO28">
        <v>5868.22</v>
      </c>
      <c r="AP28">
        <v>0</v>
      </c>
      <c r="AQ28">
        <v>473.71</v>
      </c>
      <c r="AR28">
        <v>0</v>
      </c>
      <c r="AS28">
        <v>0</v>
      </c>
      <c r="AT28">
        <v>102</v>
      </c>
      <c r="AU28">
        <v>45</v>
      </c>
      <c r="AV28">
        <v>1.047</v>
      </c>
      <c r="AW28">
        <v>1.003</v>
      </c>
      <c r="AX28">
        <v>1</v>
      </c>
      <c r="AY28">
        <v>1</v>
      </c>
      <c r="AZ28">
        <v>12.7</v>
      </c>
      <c r="BA28">
        <v>12.7</v>
      </c>
      <c r="BB28">
        <v>6.09</v>
      </c>
      <c r="BC28">
        <v>3.1</v>
      </c>
      <c r="BH28">
        <v>0</v>
      </c>
      <c r="BI28">
        <v>1</v>
      </c>
      <c r="BJ28" t="s">
        <v>36</v>
      </c>
      <c r="BM28">
        <v>122</v>
      </c>
      <c r="BN28">
        <v>0</v>
      </c>
      <c r="BO28" t="s">
        <v>34</v>
      </c>
      <c r="BP28">
        <v>1</v>
      </c>
      <c r="BQ28">
        <v>30</v>
      </c>
      <c r="BR28">
        <v>0</v>
      </c>
      <c r="BS28">
        <v>12.7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102</v>
      </c>
      <c r="CA28">
        <v>45</v>
      </c>
      <c r="CF28">
        <v>0</v>
      </c>
      <c r="CG28">
        <v>0</v>
      </c>
      <c r="CM28">
        <v>0</v>
      </c>
      <c r="CO28">
        <v>0</v>
      </c>
      <c r="CP28">
        <f t="shared" si="13"/>
        <v>72062.08</v>
      </c>
      <c r="CQ28">
        <f t="shared" si="14"/>
        <v>120563.32515099998</v>
      </c>
      <c r="CR28">
        <f t="shared" si="15"/>
        <v>1525.8541558049997</v>
      </c>
      <c r="CS28">
        <f t="shared" si="16"/>
        <v>149.85606299999998</v>
      </c>
      <c r="CT28">
        <f t="shared" si="17"/>
        <v>89733.50469569997</v>
      </c>
      <c r="CU28">
        <f t="shared" si="18"/>
        <v>0</v>
      </c>
      <c r="CV28">
        <f t="shared" si="19"/>
        <v>570.3705254999999</v>
      </c>
      <c r="CW28">
        <f t="shared" si="20"/>
        <v>0</v>
      </c>
      <c r="CX28">
        <f t="shared" si="20"/>
        <v>0</v>
      </c>
      <c r="CY28">
        <f t="shared" si="21"/>
        <v>31137.8868</v>
      </c>
      <c r="CZ28">
        <f t="shared" si="22"/>
        <v>13737.303</v>
      </c>
      <c r="DE28" t="s">
        <v>17</v>
      </c>
      <c r="DF28" t="s">
        <v>17</v>
      </c>
      <c r="DG28" t="s">
        <v>17</v>
      </c>
      <c r="DI28" t="s">
        <v>17</v>
      </c>
      <c r="DJ28" t="s">
        <v>17</v>
      </c>
      <c r="DN28">
        <v>120</v>
      </c>
      <c r="DO28">
        <v>84</v>
      </c>
      <c r="DP28">
        <v>1.047</v>
      </c>
      <c r="DQ28">
        <v>1.003</v>
      </c>
      <c r="DR28">
        <v>1</v>
      </c>
      <c r="DS28">
        <v>1</v>
      </c>
      <c r="DT28">
        <v>1</v>
      </c>
      <c r="DU28">
        <v>1005</v>
      </c>
      <c r="DV28" t="s">
        <v>15</v>
      </c>
      <c r="DW28" t="s">
        <v>15</v>
      </c>
      <c r="DX28">
        <v>100</v>
      </c>
      <c r="EE28">
        <v>9203662</v>
      </c>
      <c r="EF28">
        <v>30</v>
      </c>
      <c r="EG28" t="s">
        <v>18</v>
      </c>
      <c r="EH28">
        <v>0</v>
      </c>
      <c r="EJ28">
        <v>1</v>
      </c>
      <c r="EK28">
        <v>122</v>
      </c>
      <c r="EL28" t="s">
        <v>30</v>
      </c>
      <c r="EM28" t="s">
        <v>31</v>
      </c>
      <c r="EQ28">
        <v>64</v>
      </c>
      <c r="ER28">
        <v>44851.38</v>
      </c>
      <c r="ES28">
        <v>38775.07</v>
      </c>
      <c r="ET28">
        <v>208.09</v>
      </c>
      <c r="EU28">
        <v>9.8</v>
      </c>
      <c r="EV28">
        <v>5868.22</v>
      </c>
      <c r="EW28">
        <v>473.71</v>
      </c>
      <c r="EX28">
        <v>0</v>
      </c>
      <c r="EY28">
        <v>0</v>
      </c>
      <c r="EZ28">
        <v>0</v>
      </c>
      <c r="FQ28">
        <v>0</v>
      </c>
      <c r="FR28">
        <f t="shared" si="23"/>
        <v>0</v>
      </c>
      <c r="FS28">
        <v>0</v>
      </c>
      <c r="FX28">
        <v>102</v>
      </c>
      <c r="FY28">
        <v>45</v>
      </c>
    </row>
    <row r="29" spans="1:181" ht="12.75">
      <c r="A29">
        <v>18</v>
      </c>
      <c r="B29">
        <v>1</v>
      </c>
      <c r="C29">
        <v>61</v>
      </c>
      <c r="E29" t="s">
        <v>37</v>
      </c>
      <c r="F29" t="s">
        <v>22</v>
      </c>
      <c r="G29" t="s">
        <v>23</v>
      </c>
      <c r="H29" t="s">
        <v>24</v>
      </c>
      <c r="I29">
        <f>I28*J29</f>
        <v>39.123</v>
      </c>
      <c r="J29">
        <v>114.99999999999999</v>
      </c>
      <c r="O29">
        <f t="shared" si="2"/>
        <v>59858.19</v>
      </c>
      <c r="P29">
        <f t="shared" si="3"/>
        <v>59858.19</v>
      </c>
      <c r="Q29">
        <f t="shared" si="4"/>
        <v>0</v>
      </c>
      <c r="R29">
        <f t="shared" si="5"/>
        <v>0</v>
      </c>
      <c r="S29">
        <f t="shared" si="6"/>
        <v>0</v>
      </c>
      <c r="T29">
        <f t="shared" si="7"/>
        <v>0</v>
      </c>
      <c r="U29">
        <f t="shared" si="8"/>
        <v>0</v>
      </c>
      <c r="V29">
        <f t="shared" si="9"/>
        <v>0</v>
      </c>
      <c r="W29">
        <f t="shared" si="10"/>
        <v>0</v>
      </c>
      <c r="X29">
        <f t="shared" si="11"/>
        <v>0</v>
      </c>
      <c r="Y29">
        <f t="shared" si="11"/>
        <v>0</v>
      </c>
      <c r="AA29">
        <v>0</v>
      </c>
      <c r="AB29">
        <f t="shared" si="12"/>
        <v>1525.4237288135594</v>
      </c>
      <c r="AC29">
        <f>(AL29/1.18)</f>
        <v>1525.4237288135594</v>
      </c>
      <c r="AD29">
        <f aca="true" t="shared" si="26" ref="AD29:AJ29">AM29</f>
        <v>0</v>
      </c>
      <c r="AE29">
        <f t="shared" si="26"/>
        <v>0</v>
      </c>
      <c r="AF29">
        <f t="shared" si="26"/>
        <v>0</v>
      </c>
      <c r="AG29">
        <f t="shared" si="26"/>
        <v>0</v>
      </c>
      <c r="AH29">
        <f t="shared" si="26"/>
        <v>0</v>
      </c>
      <c r="AI29">
        <f t="shared" si="26"/>
        <v>0</v>
      </c>
      <c r="AJ29">
        <f t="shared" si="26"/>
        <v>0</v>
      </c>
      <c r="AK29">
        <v>1800</v>
      </c>
      <c r="AL29">
        <v>1800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1</v>
      </c>
      <c r="AW29">
        <v>1.003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H29">
        <v>3</v>
      </c>
      <c r="BI29">
        <v>1</v>
      </c>
      <c r="BM29">
        <v>1382</v>
      </c>
      <c r="BN29">
        <v>0</v>
      </c>
      <c r="BP29">
        <v>0</v>
      </c>
      <c r="BQ29">
        <v>30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0</v>
      </c>
      <c r="CA29">
        <v>0</v>
      </c>
      <c r="CF29">
        <v>0</v>
      </c>
      <c r="CG29">
        <v>0</v>
      </c>
      <c r="CM29">
        <v>0</v>
      </c>
      <c r="CO29">
        <v>0</v>
      </c>
      <c r="CP29">
        <f t="shared" si="13"/>
        <v>59858.19</v>
      </c>
      <c r="CQ29">
        <f t="shared" si="14"/>
        <v>1529.9999999999998</v>
      </c>
      <c r="CR29">
        <f t="shared" si="15"/>
        <v>0</v>
      </c>
      <c r="CS29">
        <f t="shared" si="16"/>
        <v>0</v>
      </c>
      <c r="CT29">
        <f t="shared" si="17"/>
        <v>0</v>
      </c>
      <c r="CU29">
        <f t="shared" si="18"/>
        <v>0</v>
      </c>
      <c r="CV29">
        <f t="shared" si="19"/>
        <v>0</v>
      </c>
      <c r="CW29">
        <f t="shared" si="20"/>
        <v>0</v>
      </c>
      <c r="CX29">
        <f t="shared" si="20"/>
        <v>0</v>
      </c>
      <c r="CY29">
        <f t="shared" si="21"/>
        <v>0</v>
      </c>
      <c r="CZ29">
        <f t="shared" si="22"/>
        <v>0</v>
      </c>
      <c r="DD29" t="s">
        <v>25</v>
      </c>
      <c r="DN29">
        <v>120</v>
      </c>
      <c r="DO29">
        <v>84</v>
      </c>
      <c r="DP29">
        <v>1.047</v>
      </c>
      <c r="DQ29">
        <v>1.003</v>
      </c>
      <c r="DR29">
        <v>1</v>
      </c>
      <c r="DS29">
        <v>1</v>
      </c>
      <c r="DT29">
        <v>1</v>
      </c>
      <c r="DU29">
        <v>1005</v>
      </c>
      <c r="DV29" t="s">
        <v>24</v>
      </c>
      <c r="DW29" t="s">
        <v>24</v>
      </c>
      <c r="DX29">
        <v>1</v>
      </c>
      <c r="EE29">
        <v>9204922</v>
      </c>
      <c r="EF29">
        <v>30</v>
      </c>
      <c r="EG29" t="s">
        <v>18</v>
      </c>
      <c r="EH29">
        <v>0</v>
      </c>
      <c r="EJ29">
        <v>1</v>
      </c>
      <c r="EK29">
        <v>1382</v>
      </c>
      <c r="EL29" t="s">
        <v>19</v>
      </c>
      <c r="EM29" t="s">
        <v>20</v>
      </c>
      <c r="EQ29">
        <v>0</v>
      </c>
      <c r="ER29">
        <v>1800</v>
      </c>
      <c r="ES29">
        <v>1800</v>
      </c>
      <c r="ET29">
        <v>0</v>
      </c>
      <c r="EU29">
        <v>0</v>
      </c>
      <c r="EV29">
        <v>0</v>
      </c>
      <c r="EW29">
        <v>0</v>
      </c>
      <c r="EX29">
        <v>0</v>
      </c>
      <c r="EZ29">
        <v>0</v>
      </c>
      <c r="FQ29">
        <v>0</v>
      </c>
      <c r="FR29">
        <f t="shared" si="23"/>
        <v>0</v>
      </c>
      <c r="FS29">
        <v>0</v>
      </c>
      <c r="FX29">
        <v>0</v>
      </c>
      <c r="FY29">
        <v>0</v>
      </c>
    </row>
    <row r="31" spans="1:43" ht="12.75">
      <c r="A31" s="2">
        <v>51</v>
      </c>
      <c r="B31" s="2">
        <f>B20</f>
        <v>1</v>
      </c>
      <c r="C31" s="2">
        <f>A20</f>
        <v>3</v>
      </c>
      <c r="D31" s="2">
        <f>ROW(A20)</f>
        <v>20</v>
      </c>
      <c r="E31" s="2"/>
      <c r="F31" s="2" t="str">
        <f>IF(F20&lt;&gt;"",F20,"")</f>
        <v>Новая локальная смета</v>
      </c>
      <c r="G31" s="2" t="str">
        <f>IF(G20&lt;&gt;"",G20,"")</f>
        <v>Новая локальная смета</v>
      </c>
      <c r="H31" s="2"/>
      <c r="I31" s="2"/>
      <c r="J31" s="2"/>
      <c r="K31" s="2"/>
      <c r="L31" s="2"/>
      <c r="M31" s="2"/>
      <c r="N31" s="2"/>
      <c r="O31" s="2">
        <f aca="true" t="shared" si="27" ref="O31:Y31">ROUND(AB31,2)</f>
        <v>209332.96</v>
      </c>
      <c r="P31" s="2">
        <f t="shared" si="27"/>
        <v>161837.21</v>
      </c>
      <c r="Q31" s="2">
        <f t="shared" si="27"/>
        <v>1214.12</v>
      </c>
      <c r="R31" s="2">
        <f t="shared" si="27"/>
        <v>297.45</v>
      </c>
      <c r="S31" s="2">
        <f t="shared" si="27"/>
        <v>46281.63</v>
      </c>
      <c r="T31" s="2">
        <f t="shared" si="27"/>
        <v>0</v>
      </c>
      <c r="U31" s="2">
        <f t="shared" si="27"/>
        <v>290.2</v>
      </c>
      <c r="V31" s="2">
        <f t="shared" si="27"/>
        <v>0</v>
      </c>
      <c r="W31" s="2">
        <f t="shared" si="27"/>
        <v>0</v>
      </c>
      <c r="X31" s="2">
        <f t="shared" si="27"/>
        <v>47207.26</v>
      </c>
      <c r="Y31" s="2">
        <f t="shared" si="27"/>
        <v>20826.74</v>
      </c>
      <c r="Z31" s="2"/>
      <c r="AA31" s="2"/>
      <c r="AB31" s="2">
        <f>ROUND(SUMIF(AA24:AA29,"=0",O24:O29),2)</f>
        <v>209332.96</v>
      </c>
      <c r="AC31" s="2">
        <f>ROUND(SUMIF(AA24:AA29,"=0",P24:P29),2)</f>
        <v>161837.21</v>
      </c>
      <c r="AD31" s="2">
        <f>ROUND(SUMIF(AA24:AA29,"=0",Q24:Q29),2)</f>
        <v>1214.12</v>
      </c>
      <c r="AE31" s="2">
        <f>ROUND(SUMIF(AA24:AA29,"=0",R24:R29),2)</f>
        <v>297.45</v>
      </c>
      <c r="AF31" s="2">
        <f>ROUND(SUMIF(AA24:AA29,"=0",S24:S29),2)</f>
        <v>46281.63</v>
      </c>
      <c r="AG31" s="2">
        <f>ROUND(SUMIF(AA24:AA29,"=0",T24:T29),2)</f>
        <v>0</v>
      </c>
      <c r="AH31" s="2">
        <f>ROUND(SUMIF(AA24:AA29,"=0",U24:U29),2)</f>
        <v>290.2</v>
      </c>
      <c r="AI31" s="2">
        <f>ROUND(SUMIF(AA24:AA29,"=0",V24:V29),2)</f>
        <v>0</v>
      </c>
      <c r="AJ31" s="2">
        <f>ROUND(SUMIF(AA24:AA29,"=0",W24:W29),2)</f>
        <v>0</v>
      </c>
      <c r="AK31" s="2">
        <f>ROUND(SUMIF(AA24:AA29,"=0",X24:X29),2)</f>
        <v>47207.26</v>
      </c>
      <c r="AL31" s="2">
        <f>ROUND(SUMIF(AA24:AA29,"=0",Y24:Y29),2)</f>
        <v>20826.74</v>
      </c>
      <c r="AM31" s="2"/>
      <c r="AN31" s="2">
        <f>ROUND(AO31,2)</f>
        <v>0</v>
      </c>
      <c r="AO31" s="2">
        <f>ROUND(SUMIF(AA24:AA29,"=0",FQ24:FQ29),2)</f>
        <v>0</v>
      </c>
      <c r="AP31" s="2">
        <f>ROUND(AQ31,2)</f>
        <v>0</v>
      </c>
      <c r="AQ31" s="2">
        <f>ROUND(SUM(FR24:FR29),2)</f>
        <v>0</v>
      </c>
    </row>
    <row r="33" spans="1:14" ht="12.75">
      <c r="A33" s="3">
        <v>50</v>
      </c>
      <c r="B33" s="3">
        <v>0</v>
      </c>
      <c r="C33" s="3">
        <v>0</v>
      </c>
      <c r="D33" s="3">
        <v>1</v>
      </c>
      <c r="E33" s="3">
        <v>201</v>
      </c>
      <c r="F33" s="3">
        <f>Source!O31</f>
        <v>209332.96</v>
      </c>
      <c r="G33" s="3" t="s">
        <v>38</v>
      </c>
      <c r="H33" s="3" t="s">
        <v>39</v>
      </c>
      <c r="I33" s="3"/>
      <c r="J33" s="3"/>
      <c r="K33" s="3">
        <v>201</v>
      </c>
      <c r="L33" s="3">
        <v>1</v>
      </c>
      <c r="M33" s="3">
        <v>3</v>
      </c>
      <c r="N33" s="3" t="s">
        <v>4</v>
      </c>
    </row>
    <row r="34" spans="1:14" ht="12.75">
      <c r="A34" s="3">
        <v>50</v>
      </c>
      <c r="B34" s="3">
        <v>0</v>
      </c>
      <c r="C34" s="3">
        <v>0</v>
      </c>
      <c r="D34" s="3">
        <v>1</v>
      </c>
      <c r="E34" s="3">
        <v>202</v>
      </c>
      <c r="F34" s="3">
        <f>Source!P31</f>
        <v>161837.21</v>
      </c>
      <c r="G34" s="3" t="s">
        <v>40</v>
      </c>
      <c r="H34" s="3" t="s">
        <v>41</v>
      </c>
      <c r="I34" s="3"/>
      <c r="J34" s="3"/>
      <c r="K34" s="3">
        <v>202</v>
      </c>
      <c r="L34" s="3">
        <v>2</v>
      </c>
      <c r="M34" s="3">
        <v>3</v>
      </c>
      <c r="N34" s="3" t="s">
        <v>4</v>
      </c>
    </row>
    <row r="35" spans="1:14" ht="12.75">
      <c r="A35" s="3">
        <v>50</v>
      </c>
      <c r="B35" s="3">
        <v>0</v>
      </c>
      <c r="C35" s="3">
        <v>0</v>
      </c>
      <c r="D35" s="3">
        <v>1</v>
      </c>
      <c r="E35" s="3">
        <v>222</v>
      </c>
      <c r="F35" s="3">
        <f>Source!AN31</f>
        <v>0</v>
      </c>
      <c r="G35" s="3" t="s">
        <v>42</v>
      </c>
      <c r="H35" s="3" t="s">
        <v>43</v>
      </c>
      <c r="I35" s="3"/>
      <c r="J35" s="3"/>
      <c r="K35" s="3">
        <v>222</v>
      </c>
      <c r="L35" s="3">
        <v>3</v>
      </c>
      <c r="M35" s="3">
        <v>3</v>
      </c>
      <c r="N35" s="3" t="s">
        <v>4</v>
      </c>
    </row>
    <row r="36" spans="1:14" ht="12.75">
      <c r="A36" s="3">
        <v>50</v>
      </c>
      <c r="B36" s="3">
        <v>0</v>
      </c>
      <c r="C36" s="3">
        <v>0</v>
      </c>
      <c r="D36" s="3">
        <v>1</v>
      </c>
      <c r="E36" s="3">
        <v>216</v>
      </c>
      <c r="F36" s="3">
        <f>Source!AP31</f>
        <v>0</v>
      </c>
      <c r="G36" s="3" t="s">
        <v>44</v>
      </c>
      <c r="H36" s="3" t="s">
        <v>45</v>
      </c>
      <c r="I36" s="3"/>
      <c r="J36" s="3"/>
      <c r="K36" s="3">
        <v>216</v>
      </c>
      <c r="L36" s="3">
        <v>4</v>
      </c>
      <c r="M36" s="3">
        <v>3</v>
      </c>
      <c r="N36" s="3" t="s">
        <v>4</v>
      </c>
    </row>
    <row r="37" spans="1:14" ht="12.75">
      <c r="A37" s="3">
        <v>50</v>
      </c>
      <c r="B37" s="3">
        <v>0</v>
      </c>
      <c r="C37" s="3">
        <v>0</v>
      </c>
      <c r="D37" s="3">
        <v>1</v>
      </c>
      <c r="E37" s="3">
        <v>203</v>
      </c>
      <c r="F37" s="3">
        <f>Source!Q31</f>
        <v>1214.12</v>
      </c>
      <c r="G37" s="3" t="s">
        <v>46</v>
      </c>
      <c r="H37" s="3" t="s">
        <v>47</v>
      </c>
      <c r="I37" s="3"/>
      <c r="J37" s="3"/>
      <c r="K37" s="3">
        <v>203</v>
      </c>
      <c r="L37" s="3">
        <v>5</v>
      </c>
      <c r="M37" s="3">
        <v>3</v>
      </c>
      <c r="N37" s="3" t="s">
        <v>4</v>
      </c>
    </row>
    <row r="38" spans="1:14" ht="12.75">
      <c r="A38" s="3">
        <v>50</v>
      </c>
      <c r="B38" s="3">
        <v>0</v>
      </c>
      <c r="C38" s="3">
        <v>0</v>
      </c>
      <c r="D38" s="3">
        <v>1</v>
      </c>
      <c r="E38" s="3">
        <v>204</v>
      </c>
      <c r="F38" s="3">
        <f>Source!R31</f>
        <v>297.45</v>
      </c>
      <c r="G38" s="3" t="s">
        <v>48</v>
      </c>
      <c r="H38" s="3" t="s">
        <v>49</v>
      </c>
      <c r="I38" s="3"/>
      <c r="J38" s="3"/>
      <c r="K38" s="3">
        <v>204</v>
      </c>
      <c r="L38" s="3">
        <v>6</v>
      </c>
      <c r="M38" s="3">
        <v>3</v>
      </c>
      <c r="N38" s="3" t="s">
        <v>4</v>
      </c>
    </row>
    <row r="39" spans="1:14" ht="12.75">
      <c r="A39" s="3">
        <v>50</v>
      </c>
      <c r="B39" s="3">
        <v>0</v>
      </c>
      <c r="C39" s="3">
        <v>0</v>
      </c>
      <c r="D39" s="3">
        <v>1</v>
      </c>
      <c r="E39" s="3">
        <v>205</v>
      </c>
      <c r="F39" s="3">
        <f>Source!S31</f>
        <v>46281.63</v>
      </c>
      <c r="G39" s="3" t="s">
        <v>50</v>
      </c>
      <c r="H39" s="3" t="s">
        <v>51</v>
      </c>
      <c r="I39" s="3"/>
      <c r="J39" s="3"/>
      <c r="K39" s="3">
        <v>205</v>
      </c>
      <c r="L39" s="3">
        <v>7</v>
      </c>
      <c r="M39" s="3">
        <v>3</v>
      </c>
      <c r="N39" s="3" t="s">
        <v>4</v>
      </c>
    </row>
    <row r="40" spans="1:14" ht="12.75">
      <c r="A40" s="3">
        <v>50</v>
      </c>
      <c r="B40" s="3">
        <v>0</v>
      </c>
      <c r="C40" s="3">
        <v>0</v>
      </c>
      <c r="D40" s="3">
        <v>1</v>
      </c>
      <c r="E40" s="3">
        <v>206</v>
      </c>
      <c r="F40" s="3">
        <f>Source!T31</f>
        <v>0</v>
      </c>
      <c r="G40" s="3" t="s">
        <v>52</v>
      </c>
      <c r="H40" s="3" t="s">
        <v>53</v>
      </c>
      <c r="I40" s="3"/>
      <c r="J40" s="3"/>
      <c r="K40" s="3">
        <v>206</v>
      </c>
      <c r="L40" s="3">
        <v>8</v>
      </c>
      <c r="M40" s="3">
        <v>3</v>
      </c>
      <c r="N40" s="3" t="s">
        <v>4</v>
      </c>
    </row>
    <row r="41" spans="1:14" ht="12.75">
      <c r="A41" s="3">
        <v>50</v>
      </c>
      <c r="B41" s="3">
        <v>0</v>
      </c>
      <c r="C41" s="3">
        <v>0</v>
      </c>
      <c r="D41" s="3">
        <v>1</v>
      </c>
      <c r="E41" s="3">
        <v>207</v>
      </c>
      <c r="F41" s="3">
        <f>Source!U31</f>
        <v>290.2</v>
      </c>
      <c r="G41" s="3" t="s">
        <v>54</v>
      </c>
      <c r="H41" s="3" t="s">
        <v>55</v>
      </c>
      <c r="I41" s="3"/>
      <c r="J41" s="3"/>
      <c r="K41" s="3">
        <v>207</v>
      </c>
      <c r="L41" s="3">
        <v>9</v>
      </c>
      <c r="M41" s="3">
        <v>3</v>
      </c>
      <c r="N41" s="3" t="s">
        <v>4</v>
      </c>
    </row>
    <row r="42" spans="1:14" ht="12.75">
      <c r="A42" s="3">
        <v>50</v>
      </c>
      <c r="B42" s="3">
        <v>0</v>
      </c>
      <c r="C42" s="3">
        <v>0</v>
      </c>
      <c r="D42" s="3">
        <v>1</v>
      </c>
      <c r="E42" s="3">
        <v>208</v>
      </c>
      <c r="F42" s="3">
        <f>Source!V31</f>
        <v>0</v>
      </c>
      <c r="G42" s="3" t="s">
        <v>56</v>
      </c>
      <c r="H42" s="3" t="s">
        <v>57</v>
      </c>
      <c r="I42" s="3"/>
      <c r="J42" s="3"/>
      <c r="K42" s="3">
        <v>208</v>
      </c>
      <c r="L42" s="3">
        <v>10</v>
      </c>
      <c r="M42" s="3">
        <v>3</v>
      </c>
      <c r="N42" s="3" t="s">
        <v>4</v>
      </c>
    </row>
    <row r="43" spans="1:14" ht="12.75">
      <c r="A43" s="3">
        <v>50</v>
      </c>
      <c r="B43" s="3">
        <v>0</v>
      </c>
      <c r="C43" s="3">
        <v>0</v>
      </c>
      <c r="D43" s="3">
        <v>1</v>
      </c>
      <c r="E43" s="3">
        <v>209</v>
      </c>
      <c r="F43" s="3">
        <f>Source!W31</f>
        <v>0</v>
      </c>
      <c r="G43" s="3" t="s">
        <v>58</v>
      </c>
      <c r="H43" s="3" t="s">
        <v>59</v>
      </c>
      <c r="I43" s="3"/>
      <c r="J43" s="3"/>
      <c r="K43" s="3">
        <v>209</v>
      </c>
      <c r="L43" s="3">
        <v>11</v>
      </c>
      <c r="M43" s="3">
        <v>3</v>
      </c>
      <c r="N43" s="3" t="s">
        <v>4</v>
      </c>
    </row>
    <row r="44" spans="1:14" ht="12.75">
      <c r="A44" s="3">
        <v>50</v>
      </c>
      <c r="B44" s="3">
        <v>0</v>
      </c>
      <c r="C44" s="3">
        <v>0</v>
      </c>
      <c r="D44" s="3">
        <v>1</v>
      </c>
      <c r="E44" s="3">
        <v>210</v>
      </c>
      <c r="F44" s="3">
        <f>Source!X31</f>
        <v>47207.26</v>
      </c>
      <c r="G44" s="3" t="s">
        <v>60</v>
      </c>
      <c r="H44" s="3" t="s">
        <v>61</v>
      </c>
      <c r="I44" s="3"/>
      <c r="J44" s="3"/>
      <c r="K44" s="3">
        <v>210</v>
      </c>
      <c r="L44" s="3">
        <v>12</v>
      </c>
      <c r="M44" s="3">
        <v>3</v>
      </c>
      <c r="N44" s="3" t="s">
        <v>4</v>
      </c>
    </row>
    <row r="45" spans="1:14" ht="12.75">
      <c r="A45" s="3">
        <v>50</v>
      </c>
      <c r="B45" s="3">
        <v>0</v>
      </c>
      <c r="C45" s="3">
        <v>0</v>
      </c>
      <c r="D45" s="3">
        <v>1</v>
      </c>
      <c r="E45" s="3">
        <v>211</v>
      </c>
      <c r="F45" s="3">
        <f>Source!Y31</f>
        <v>20826.74</v>
      </c>
      <c r="G45" s="3" t="s">
        <v>62</v>
      </c>
      <c r="H45" s="3" t="s">
        <v>63</v>
      </c>
      <c r="I45" s="3"/>
      <c r="J45" s="3"/>
      <c r="K45" s="3">
        <v>211</v>
      </c>
      <c r="L45" s="3">
        <v>13</v>
      </c>
      <c r="M45" s="3">
        <v>3</v>
      </c>
      <c r="N45" s="3" t="s">
        <v>4</v>
      </c>
    </row>
    <row r="46" spans="1:14" ht="12.75">
      <c r="A46" s="3">
        <v>50</v>
      </c>
      <c r="B46" s="3">
        <v>1</v>
      </c>
      <c r="C46" s="3">
        <v>0</v>
      </c>
      <c r="D46" s="3">
        <v>2</v>
      </c>
      <c r="E46" s="3">
        <v>0</v>
      </c>
      <c r="F46" s="3">
        <f>ROUND(Source!F33+Source!F44+Source!F45+1.78*Source!F38,2)</f>
        <v>277896.42</v>
      </c>
      <c r="G46" s="3" t="s">
        <v>64</v>
      </c>
      <c r="H46" s="3" t="s">
        <v>64</v>
      </c>
      <c r="I46" s="3"/>
      <c r="J46" s="3"/>
      <c r="K46" s="3">
        <v>212</v>
      </c>
      <c r="L46" s="3">
        <v>14</v>
      </c>
      <c r="M46" s="3">
        <v>0</v>
      </c>
      <c r="N46" s="3" t="s">
        <v>4</v>
      </c>
    </row>
    <row r="47" spans="1:14" ht="12.75">
      <c r="A47" s="3">
        <v>50</v>
      </c>
      <c r="B47" s="3">
        <v>1</v>
      </c>
      <c r="C47" s="3">
        <v>0</v>
      </c>
      <c r="D47" s="3">
        <v>2</v>
      </c>
      <c r="E47" s="3">
        <v>0</v>
      </c>
      <c r="F47" s="3">
        <f>ROUND(Source!F46*0.18,2)</f>
        <v>50021.36</v>
      </c>
      <c r="G47" s="3" t="s">
        <v>65</v>
      </c>
      <c r="H47" s="3" t="s">
        <v>66</v>
      </c>
      <c r="I47" s="3"/>
      <c r="J47" s="3"/>
      <c r="K47" s="3">
        <v>212</v>
      </c>
      <c r="L47" s="3">
        <v>15</v>
      </c>
      <c r="M47" s="3">
        <v>0</v>
      </c>
      <c r="N47" s="3" t="s">
        <v>4</v>
      </c>
    </row>
    <row r="48" spans="1:14" ht="12.75">
      <c r="A48" s="3">
        <v>50</v>
      </c>
      <c r="B48" s="3">
        <v>1</v>
      </c>
      <c r="C48" s="3">
        <v>0</v>
      </c>
      <c r="D48" s="3">
        <v>2</v>
      </c>
      <c r="E48" s="3">
        <v>0</v>
      </c>
      <c r="F48" s="3">
        <f>ROUND(Source!F46+Source!F47,2)</f>
        <v>327917.78</v>
      </c>
      <c r="G48" s="3" t="s">
        <v>67</v>
      </c>
      <c r="H48" s="3" t="s">
        <v>67</v>
      </c>
      <c r="I48" s="3"/>
      <c r="J48" s="3"/>
      <c r="K48" s="3">
        <v>212</v>
      </c>
      <c r="L48" s="3">
        <v>16</v>
      </c>
      <c r="M48" s="3">
        <v>0</v>
      </c>
      <c r="N48" s="3" t="s">
        <v>4</v>
      </c>
    </row>
    <row r="50" spans="1:43" ht="12.75">
      <c r="A50" s="2">
        <v>51</v>
      </c>
      <c r="B50" s="2">
        <f>B12</f>
        <v>1</v>
      </c>
      <c r="C50" s="2">
        <f>A12</f>
        <v>1</v>
      </c>
      <c r="D50" s="2">
        <f>ROW(A12)</f>
        <v>12</v>
      </c>
      <c r="E50" s="2"/>
      <c r="F50" s="2" t="str">
        <f>IF(F12&lt;&gt;"",F12,"")</f>
        <v>Новый объект</v>
      </c>
      <c r="G50" s="2" t="str">
        <f>IF(G12&lt;&gt;"",G12,"")</f>
        <v>№546 Фасад</v>
      </c>
      <c r="H50" s="2"/>
      <c r="I50" s="2"/>
      <c r="J50" s="2"/>
      <c r="K50" s="2"/>
      <c r="L50" s="2"/>
      <c r="M50" s="2"/>
      <c r="N50" s="2"/>
      <c r="O50" s="2">
        <f aca="true" t="shared" si="28" ref="O50:Y50">ROUND(O31,2)</f>
        <v>209332.96</v>
      </c>
      <c r="P50" s="2">
        <f t="shared" si="28"/>
        <v>161837.21</v>
      </c>
      <c r="Q50" s="2">
        <f t="shared" si="28"/>
        <v>1214.12</v>
      </c>
      <c r="R50" s="2">
        <f t="shared" si="28"/>
        <v>297.45</v>
      </c>
      <c r="S50" s="2">
        <f t="shared" si="28"/>
        <v>46281.63</v>
      </c>
      <c r="T50" s="2">
        <f t="shared" si="28"/>
        <v>0</v>
      </c>
      <c r="U50" s="2">
        <f t="shared" si="28"/>
        <v>290.2</v>
      </c>
      <c r="V50" s="2">
        <f t="shared" si="28"/>
        <v>0</v>
      </c>
      <c r="W50" s="2">
        <f t="shared" si="28"/>
        <v>0</v>
      </c>
      <c r="X50" s="2">
        <f t="shared" si="28"/>
        <v>47207.26</v>
      </c>
      <c r="Y50" s="2">
        <f t="shared" si="28"/>
        <v>20826.74</v>
      </c>
      <c r="Z50" s="2"/>
      <c r="AA50" s="2"/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/>
      <c r="AN50" s="2">
        <f>ROUND(AN31,2)</f>
        <v>0</v>
      </c>
      <c r="AO50" s="2">
        <v>0</v>
      </c>
      <c r="AP50" s="2">
        <f>ROUND(AP31,2)</f>
        <v>0</v>
      </c>
      <c r="AQ50" s="2">
        <v>0</v>
      </c>
    </row>
    <row r="52" spans="1:14" ht="12.75">
      <c r="A52" s="3">
        <v>50</v>
      </c>
      <c r="B52" s="3">
        <v>0</v>
      </c>
      <c r="C52" s="3">
        <v>0</v>
      </c>
      <c r="D52" s="3">
        <v>1</v>
      </c>
      <c r="E52" s="3">
        <v>201</v>
      </c>
      <c r="F52" s="3">
        <f>Source!O50</f>
        <v>209332.96</v>
      </c>
      <c r="G52" s="3" t="s">
        <v>38</v>
      </c>
      <c r="H52" s="3" t="s">
        <v>39</v>
      </c>
      <c r="I52" s="3"/>
      <c r="J52" s="3"/>
      <c r="K52" s="3">
        <v>201</v>
      </c>
      <c r="L52" s="3">
        <v>1</v>
      </c>
      <c r="M52" s="3">
        <v>3</v>
      </c>
      <c r="N52" s="3" t="s">
        <v>4</v>
      </c>
    </row>
    <row r="53" spans="1:14" ht="12.75">
      <c r="A53" s="3">
        <v>50</v>
      </c>
      <c r="B53" s="3">
        <v>0</v>
      </c>
      <c r="C53" s="3">
        <v>0</v>
      </c>
      <c r="D53" s="3">
        <v>1</v>
      </c>
      <c r="E53" s="3">
        <v>202</v>
      </c>
      <c r="F53" s="3">
        <f>Source!P50</f>
        <v>161837.21</v>
      </c>
      <c r="G53" s="3" t="s">
        <v>40</v>
      </c>
      <c r="H53" s="3" t="s">
        <v>41</v>
      </c>
      <c r="I53" s="3"/>
      <c r="J53" s="3"/>
      <c r="K53" s="3">
        <v>202</v>
      </c>
      <c r="L53" s="3">
        <v>2</v>
      </c>
      <c r="M53" s="3">
        <v>3</v>
      </c>
      <c r="N53" s="3" t="s">
        <v>4</v>
      </c>
    </row>
    <row r="54" spans="1:14" ht="12.75">
      <c r="A54" s="3">
        <v>50</v>
      </c>
      <c r="B54" s="3">
        <v>0</v>
      </c>
      <c r="C54" s="3">
        <v>0</v>
      </c>
      <c r="D54" s="3">
        <v>1</v>
      </c>
      <c r="E54" s="3">
        <v>222</v>
      </c>
      <c r="F54" s="3">
        <f>Source!AN50</f>
        <v>0</v>
      </c>
      <c r="G54" s="3" t="s">
        <v>42</v>
      </c>
      <c r="H54" s="3" t="s">
        <v>43</v>
      </c>
      <c r="I54" s="3"/>
      <c r="J54" s="3"/>
      <c r="K54" s="3">
        <v>222</v>
      </c>
      <c r="L54" s="3">
        <v>3</v>
      </c>
      <c r="M54" s="3">
        <v>3</v>
      </c>
      <c r="N54" s="3" t="s">
        <v>4</v>
      </c>
    </row>
    <row r="55" spans="1:14" ht="12.75">
      <c r="A55" s="3">
        <v>50</v>
      </c>
      <c r="B55" s="3">
        <v>0</v>
      </c>
      <c r="C55" s="3">
        <v>0</v>
      </c>
      <c r="D55" s="3">
        <v>1</v>
      </c>
      <c r="E55" s="3">
        <v>216</v>
      </c>
      <c r="F55" s="3">
        <f>Source!AP50</f>
        <v>0</v>
      </c>
      <c r="G55" s="3" t="s">
        <v>44</v>
      </c>
      <c r="H55" s="3" t="s">
        <v>45</v>
      </c>
      <c r="I55" s="3"/>
      <c r="J55" s="3"/>
      <c r="K55" s="3">
        <v>216</v>
      </c>
      <c r="L55" s="3">
        <v>4</v>
      </c>
      <c r="M55" s="3">
        <v>3</v>
      </c>
      <c r="N55" s="3" t="s">
        <v>4</v>
      </c>
    </row>
    <row r="56" spans="1:14" ht="12.75">
      <c r="A56" s="3">
        <v>50</v>
      </c>
      <c r="B56" s="3">
        <v>0</v>
      </c>
      <c r="C56" s="3">
        <v>0</v>
      </c>
      <c r="D56" s="3">
        <v>1</v>
      </c>
      <c r="E56" s="3">
        <v>203</v>
      </c>
      <c r="F56" s="3">
        <f>Source!Q50</f>
        <v>1214.12</v>
      </c>
      <c r="G56" s="3" t="s">
        <v>46</v>
      </c>
      <c r="H56" s="3" t="s">
        <v>47</v>
      </c>
      <c r="I56" s="3"/>
      <c r="J56" s="3"/>
      <c r="K56" s="3">
        <v>203</v>
      </c>
      <c r="L56" s="3">
        <v>5</v>
      </c>
      <c r="M56" s="3">
        <v>3</v>
      </c>
      <c r="N56" s="3" t="s">
        <v>4</v>
      </c>
    </row>
    <row r="57" spans="1:14" ht="12.75">
      <c r="A57" s="3">
        <v>50</v>
      </c>
      <c r="B57" s="3">
        <v>0</v>
      </c>
      <c r="C57" s="3">
        <v>0</v>
      </c>
      <c r="D57" s="3">
        <v>1</v>
      </c>
      <c r="E57" s="3">
        <v>204</v>
      </c>
      <c r="F57" s="3">
        <f>Source!R50</f>
        <v>297.45</v>
      </c>
      <c r="G57" s="3" t="s">
        <v>48</v>
      </c>
      <c r="H57" s="3" t="s">
        <v>49</v>
      </c>
      <c r="I57" s="3"/>
      <c r="J57" s="3"/>
      <c r="K57" s="3">
        <v>204</v>
      </c>
      <c r="L57" s="3">
        <v>6</v>
      </c>
      <c r="M57" s="3">
        <v>3</v>
      </c>
      <c r="N57" s="3" t="s">
        <v>4</v>
      </c>
    </row>
    <row r="58" spans="1:14" ht="12.75">
      <c r="A58" s="3">
        <v>50</v>
      </c>
      <c r="B58" s="3">
        <v>0</v>
      </c>
      <c r="C58" s="3">
        <v>0</v>
      </c>
      <c r="D58" s="3">
        <v>1</v>
      </c>
      <c r="E58" s="3">
        <v>205</v>
      </c>
      <c r="F58" s="3">
        <f>Source!S50</f>
        <v>46281.63</v>
      </c>
      <c r="G58" s="3" t="s">
        <v>50</v>
      </c>
      <c r="H58" s="3" t="s">
        <v>51</v>
      </c>
      <c r="I58" s="3"/>
      <c r="J58" s="3"/>
      <c r="K58" s="3">
        <v>205</v>
      </c>
      <c r="L58" s="3">
        <v>7</v>
      </c>
      <c r="M58" s="3">
        <v>3</v>
      </c>
      <c r="N58" s="3" t="s">
        <v>4</v>
      </c>
    </row>
    <row r="59" spans="1:14" ht="12.75">
      <c r="A59" s="3">
        <v>50</v>
      </c>
      <c r="B59" s="3">
        <v>0</v>
      </c>
      <c r="C59" s="3">
        <v>0</v>
      </c>
      <c r="D59" s="3">
        <v>1</v>
      </c>
      <c r="E59" s="3">
        <v>206</v>
      </c>
      <c r="F59" s="3">
        <f>Source!T50</f>
        <v>0</v>
      </c>
      <c r="G59" s="3" t="s">
        <v>52</v>
      </c>
      <c r="H59" s="3" t="s">
        <v>53</v>
      </c>
      <c r="I59" s="3"/>
      <c r="J59" s="3"/>
      <c r="K59" s="3">
        <v>206</v>
      </c>
      <c r="L59" s="3">
        <v>8</v>
      </c>
      <c r="M59" s="3">
        <v>3</v>
      </c>
      <c r="N59" s="3" t="s">
        <v>4</v>
      </c>
    </row>
    <row r="60" spans="1:14" ht="12.75">
      <c r="A60" s="3">
        <v>50</v>
      </c>
      <c r="B60" s="3">
        <v>0</v>
      </c>
      <c r="C60" s="3">
        <v>0</v>
      </c>
      <c r="D60" s="3">
        <v>1</v>
      </c>
      <c r="E60" s="3">
        <v>207</v>
      </c>
      <c r="F60" s="3">
        <f>Source!U50</f>
        <v>290.2</v>
      </c>
      <c r="G60" s="3" t="s">
        <v>54</v>
      </c>
      <c r="H60" s="3" t="s">
        <v>55</v>
      </c>
      <c r="I60" s="3"/>
      <c r="J60" s="3"/>
      <c r="K60" s="3">
        <v>207</v>
      </c>
      <c r="L60" s="3">
        <v>9</v>
      </c>
      <c r="M60" s="3">
        <v>3</v>
      </c>
      <c r="N60" s="3" t="s">
        <v>4</v>
      </c>
    </row>
    <row r="61" spans="1:14" ht="12.75">
      <c r="A61" s="3">
        <v>50</v>
      </c>
      <c r="B61" s="3">
        <v>0</v>
      </c>
      <c r="C61" s="3">
        <v>0</v>
      </c>
      <c r="D61" s="3">
        <v>1</v>
      </c>
      <c r="E61" s="3">
        <v>208</v>
      </c>
      <c r="F61" s="3">
        <f>Source!V50</f>
        <v>0</v>
      </c>
      <c r="G61" s="3" t="s">
        <v>56</v>
      </c>
      <c r="H61" s="3" t="s">
        <v>57</v>
      </c>
      <c r="I61" s="3"/>
      <c r="J61" s="3"/>
      <c r="K61" s="3">
        <v>208</v>
      </c>
      <c r="L61" s="3">
        <v>10</v>
      </c>
      <c r="M61" s="3">
        <v>3</v>
      </c>
      <c r="N61" s="3" t="s">
        <v>4</v>
      </c>
    </row>
    <row r="62" spans="1:14" ht="12.75">
      <c r="A62" s="3">
        <v>50</v>
      </c>
      <c r="B62" s="3">
        <v>0</v>
      </c>
      <c r="C62" s="3">
        <v>0</v>
      </c>
      <c r="D62" s="3">
        <v>1</v>
      </c>
      <c r="E62" s="3">
        <v>209</v>
      </c>
      <c r="F62" s="3">
        <f>Source!W50</f>
        <v>0</v>
      </c>
      <c r="G62" s="3" t="s">
        <v>58</v>
      </c>
      <c r="H62" s="3" t="s">
        <v>59</v>
      </c>
      <c r="I62" s="3"/>
      <c r="J62" s="3"/>
      <c r="K62" s="3">
        <v>209</v>
      </c>
      <c r="L62" s="3">
        <v>11</v>
      </c>
      <c r="M62" s="3">
        <v>3</v>
      </c>
      <c r="N62" s="3" t="s">
        <v>4</v>
      </c>
    </row>
    <row r="63" spans="1:14" ht="12.75">
      <c r="A63" s="3">
        <v>50</v>
      </c>
      <c r="B63" s="3">
        <v>0</v>
      </c>
      <c r="C63" s="3">
        <v>0</v>
      </c>
      <c r="D63" s="3">
        <v>1</v>
      </c>
      <c r="E63" s="3">
        <v>210</v>
      </c>
      <c r="F63" s="3">
        <f>Source!X50</f>
        <v>47207.26</v>
      </c>
      <c r="G63" s="3" t="s">
        <v>60</v>
      </c>
      <c r="H63" s="3" t="s">
        <v>61</v>
      </c>
      <c r="I63" s="3"/>
      <c r="J63" s="3"/>
      <c r="K63" s="3">
        <v>210</v>
      </c>
      <c r="L63" s="3">
        <v>12</v>
      </c>
      <c r="M63" s="3">
        <v>3</v>
      </c>
      <c r="N63" s="3" t="s">
        <v>4</v>
      </c>
    </row>
    <row r="64" spans="1:14" ht="12.75">
      <c r="A64" s="3">
        <v>50</v>
      </c>
      <c r="B64" s="3">
        <v>0</v>
      </c>
      <c r="C64" s="3">
        <v>0</v>
      </c>
      <c r="D64" s="3">
        <v>1</v>
      </c>
      <c r="E64" s="3">
        <v>211</v>
      </c>
      <c r="F64" s="3">
        <f>Source!Y50</f>
        <v>20826.74</v>
      </c>
      <c r="G64" s="3" t="s">
        <v>62</v>
      </c>
      <c r="H64" s="3" t="s">
        <v>63</v>
      </c>
      <c r="I64" s="3"/>
      <c r="J64" s="3"/>
      <c r="K64" s="3">
        <v>211</v>
      </c>
      <c r="L64" s="3">
        <v>13</v>
      </c>
      <c r="M64" s="3">
        <v>3</v>
      </c>
      <c r="N64" s="3" t="s">
        <v>4</v>
      </c>
    </row>
    <row r="65" spans="1:14" ht="12.75">
      <c r="A65" s="3">
        <v>50</v>
      </c>
      <c r="B65" s="3">
        <v>1</v>
      </c>
      <c r="C65" s="3">
        <v>0</v>
      </c>
      <c r="D65" s="3">
        <v>2</v>
      </c>
      <c r="E65" s="3">
        <v>0</v>
      </c>
      <c r="F65" s="3">
        <f>ROUND(Source!F52+Source!F63+Source!F64+1.78*Source!F57,2)</f>
        <v>277896.42</v>
      </c>
      <c r="G65" s="3" t="s">
        <v>64</v>
      </c>
      <c r="H65" s="3" t="s">
        <v>64</v>
      </c>
      <c r="I65" s="3"/>
      <c r="J65" s="3"/>
      <c r="K65" s="3">
        <v>212</v>
      </c>
      <c r="L65" s="3">
        <v>14</v>
      </c>
      <c r="M65" s="3">
        <v>0</v>
      </c>
      <c r="N65" s="3" t="s">
        <v>4</v>
      </c>
    </row>
    <row r="66" spans="1:14" ht="12.75">
      <c r="A66" s="3">
        <v>50</v>
      </c>
      <c r="B66" s="3">
        <v>1</v>
      </c>
      <c r="C66" s="3">
        <v>0</v>
      </c>
      <c r="D66" s="3">
        <v>2</v>
      </c>
      <c r="E66" s="3">
        <v>0</v>
      </c>
      <c r="F66" s="3">
        <f>ROUND(Source!F65*0.18,2)</f>
        <v>50021.36</v>
      </c>
      <c r="G66" s="3" t="s">
        <v>65</v>
      </c>
      <c r="H66" s="3" t="s">
        <v>66</v>
      </c>
      <c r="I66" s="3"/>
      <c r="J66" s="3"/>
      <c r="K66" s="3">
        <v>212</v>
      </c>
      <c r="L66" s="3">
        <v>15</v>
      </c>
      <c r="M66" s="3">
        <v>0</v>
      </c>
      <c r="N66" s="3" t="s">
        <v>4</v>
      </c>
    </row>
    <row r="67" spans="1:14" ht="12.75">
      <c r="A67" s="3">
        <v>50</v>
      </c>
      <c r="B67" s="3">
        <v>1</v>
      </c>
      <c r="C67" s="3">
        <v>0</v>
      </c>
      <c r="D67" s="3">
        <v>2</v>
      </c>
      <c r="E67" s="3">
        <v>0</v>
      </c>
      <c r="F67" s="3">
        <f>ROUND(Source!F65+Source!F66,2)</f>
        <v>327917.78</v>
      </c>
      <c r="G67" s="3" t="s">
        <v>67</v>
      </c>
      <c r="H67" s="3" t="s">
        <v>67</v>
      </c>
      <c r="I67" s="3"/>
      <c r="J67" s="3"/>
      <c r="K67" s="3">
        <v>212</v>
      </c>
      <c r="L67" s="3">
        <v>16</v>
      </c>
      <c r="M67" s="3">
        <v>0</v>
      </c>
      <c r="N67" s="3" t="s">
        <v>4</v>
      </c>
    </row>
    <row r="71" spans="1:5" ht="12.75">
      <c r="A71">
        <v>65</v>
      </c>
      <c r="C71">
        <v>1</v>
      </c>
      <c r="D71">
        <v>0</v>
      </c>
      <c r="E71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6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0" ht="12.75">
      <c r="A1">
        <f>ROW(Source!A24)</f>
        <v>24</v>
      </c>
      <c r="B1">
        <v>12715354</v>
      </c>
      <c r="C1">
        <v>12715353</v>
      </c>
      <c r="D1">
        <v>7157835</v>
      </c>
      <c r="E1">
        <v>7157832</v>
      </c>
      <c r="F1">
        <v>1</v>
      </c>
      <c r="G1">
        <v>7157832</v>
      </c>
      <c r="H1">
        <v>1</v>
      </c>
      <c r="I1" t="s">
        <v>68</v>
      </c>
      <c r="K1" t="s">
        <v>69</v>
      </c>
      <c r="L1">
        <v>1191</v>
      </c>
      <c r="N1">
        <v>1013</v>
      </c>
      <c r="O1" t="s">
        <v>70</v>
      </c>
      <c r="P1" t="s">
        <v>70</v>
      </c>
      <c r="Q1">
        <v>1</v>
      </c>
      <c r="Y1">
        <v>305.48599999999993</v>
      </c>
      <c r="AA1">
        <v>0</v>
      </c>
      <c r="AB1">
        <v>0</v>
      </c>
      <c r="AC1">
        <v>0</v>
      </c>
      <c r="AD1">
        <v>0</v>
      </c>
      <c r="AN1">
        <v>0</v>
      </c>
      <c r="AO1">
        <v>1</v>
      </c>
      <c r="AP1">
        <v>1</v>
      </c>
      <c r="AQ1">
        <v>0</v>
      </c>
      <c r="AR1">
        <v>0</v>
      </c>
      <c r="AT1">
        <v>265.64</v>
      </c>
      <c r="AU1" t="s">
        <v>17</v>
      </c>
      <c r="AV1">
        <v>1</v>
      </c>
      <c r="AW1">
        <v>2</v>
      </c>
      <c r="AX1">
        <v>12715354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B1">
        <v>0</v>
      </c>
    </row>
    <row r="2" spans="1:80" ht="12.75">
      <c r="A2">
        <f>ROW(Source!A24)</f>
        <v>24</v>
      </c>
      <c r="B2">
        <v>12715355</v>
      </c>
      <c r="C2">
        <v>12715353</v>
      </c>
      <c r="D2">
        <v>7231421</v>
      </c>
      <c r="E2">
        <v>1</v>
      </c>
      <c r="F2">
        <v>1</v>
      </c>
      <c r="G2">
        <v>7157832</v>
      </c>
      <c r="H2">
        <v>2</v>
      </c>
      <c r="I2" t="s">
        <v>71</v>
      </c>
      <c r="J2" t="s">
        <v>72</v>
      </c>
      <c r="K2" t="s">
        <v>73</v>
      </c>
      <c r="L2">
        <v>1368</v>
      </c>
      <c r="N2">
        <v>1011</v>
      </c>
      <c r="O2" t="s">
        <v>74</v>
      </c>
      <c r="P2" t="s">
        <v>74</v>
      </c>
      <c r="Q2">
        <v>1</v>
      </c>
      <c r="Y2">
        <v>2.3114999999999997</v>
      </c>
      <c r="AA2">
        <v>0</v>
      </c>
      <c r="AB2">
        <v>74.44</v>
      </c>
      <c r="AC2">
        <v>17.59</v>
      </c>
      <c r="AD2">
        <v>0</v>
      </c>
      <c r="AN2">
        <v>0</v>
      </c>
      <c r="AO2">
        <v>1</v>
      </c>
      <c r="AP2">
        <v>1</v>
      </c>
      <c r="AQ2">
        <v>0</v>
      </c>
      <c r="AR2">
        <v>0</v>
      </c>
      <c r="AT2">
        <v>2.01</v>
      </c>
      <c r="AU2" t="s">
        <v>17</v>
      </c>
      <c r="AV2">
        <v>0</v>
      </c>
      <c r="AW2">
        <v>2</v>
      </c>
      <c r="AX2">
        <v>12715355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B2">
        <v>0</v>
      </c>
    </row>
    <row r="3" spans="1:80" ht="12.75">
      <c r="A3">
        <f>ROW(Source!A24)</f>
        <v>24</v>
      </c>
      <c r="B3">
        <v>12715356</v>
      </c>
      <c r="C3">
        <v>12715353</v>
      </c>
      <c r="D3">
        <v>7231491</v>
      </c>
      <c r="E3">
        <v>1</v>
      </c>
      <c r="F3">
        <v>1</v>
      </c>
      <c r="G3">
        <v>7157832</v>
      </c>
      <c r="H3">
        <v>2</v>
      </c>
      <c r="I3" t="s">
        <v>75</v>
      </c>
      <c r="J3" t="s">
        <v>76</v>
      </c>
      <c r="K3" t="s">
        <v>77</v>
      </c>
      <c r="L3">
        <v>1368</v>
      </c>
      <c r="N3">
        <v>1011</v>
      </c>
      <c r="O3" t="s">
        <v>74</v>
      </c>
      <c r="P3" t="s">
        <v>74</v>
      </c>
      <c r="Q3">
        <v>1</v>
      </c>
      <c r="Y3">
        <v>11.051499999999999</v>
      </c>
      <c r="AA3">
        <v>0</v>
      </c>
      <c r="AB3">
        <v>0.64</v>
      </c>
      <c r="AC3">
        <v>0.04</v>
      </c>
      <c r="AD3">
        <v>0</v>
      </c>
      <c r="AN3">
        <v>0</v>
      </c>
      <c r="AO3">
        <v>1</v>
      </c>
      <c r="AP3">
        <v>1</v>
      </c>
      <c r="AQ3">
        <v>0</v>
      </c>
      <c r="AR3">
        <v>0</v>
      </c>
      <c r="AT3">
        <v>9.61</v>
      </c>
      <c r="AU3" t="s">
        <v>17</v>
      </c>
      <c r="AV3">
        <v>0</v>
      </c>
      <c r="AW3">
        <v>2</v>
      </c>
      <c r="AX3">
        <v>12715356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B3">
        <v>0</v>
      </c>
    </row>
    <row r="4" spans="1:80" ht="12.75">
      <c r="A4">
        <f>ROW(Source!A24)</f>
        <v>24</v>
      </c>
      <c r="B4">
        <v>12715357</v>
      </c>
      <c r="C4">
        <v>12715353</v>
      </c>
      <c r="D4">
        <v>7231445</v>
      </c>
      <c r="E4">
        <v>1</v>
      </c>
      <c r="F4">
        <v>1</v>
      </c>
      <c r="G4">
        <v>7157832</v>
      </c>
      <c r="H4">
        <v>2</v>
      </c>
      <c r="I4" t="s">
        <v>78</v>
      </c>
      <c r="J4" t="s">
        <v>79</v>
      </c>
      <c r="K4" t="s">
        <v>80</v>
      </c>
      <c r="L4">
        <v>1368</v>
      </c>
      <c r="N4">
        <v>1011</v>
      </c>
      <c r="O4" t="s">
        <v>74</v>
      </c>
      <c r="P4" t="s">
        <v>74</v>
      </c>
      <c r="Q4">
        <v>1</v>
      </c>
      <c r="Y4">
        <v>25.438</v>
      </c>
      <c r="AA4">
        <v>0</v>
      </c>
      <c r="AB4">
        <v>2.36</v>
      </c>
      <c r="AC4">
        <v>0.1</v>
      </c>
      <c r="AD4">
        <v>0</v>
      </c>
      <c r="AN4">
        <v>0</v>
      </c>
      <c r="AO4">
        <v>1</v>
      </c>
      <c r="AP4">
        <v>1</v>
      </c>
      <c r="AQ4">
        <v>0</v>
      </c>
      <c r="AR4">
        <v>0</v>
      </c>
      <c r="AT4">
        <v>22.12</v>
      </c>
      <c r="AU4" t="s">
        <v>17</v>
      </c>
      <c r="AV4">
        <v>0</v>
      </c>
      <c r="AW4">
        <v>2</v>
      </c>
      <c r="AX4">
        <v>12715357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B4">
        <v>0</v>
      </c>
    </row>
    <row r="5" spans="1:80" ht="12.75">
      <c r="A5">
        <f>ROW(Source!A24)</f>
        <v>24</v>
      </c>
      <c r="B5">
        <v>12715358</v>
      </c>
      <c r="C5">
        <v>12715353</v>
      </c>
      <c r="D5">
        <v>7231507</v>
      </c>
      <c r="E5">
        <v>1</v>
      </c>
      <c r="F5">
        <v>1</v>
      </c>
      <c r="G5">
        <v>7157832</v>
      </c>
      <c r="H5">
        <v>2</v>
      </c>
      <c r="I5" t="s">
        <v>81</v>
      </c>
      <c r="J5" t="s">
        <v>82</v>
      </c>
      <c r="K5" t="s">
        <v>83</v>
      </c>
      <c r="L5">
        <v>1368</v>
      </c>
      <c r="N5">
        <v>1011</v>
      </c>
      <c r="O5" t="s">
        <v>74</v>
      </c>
      <c r="P5" t="s">
        <v>74</v>
      </c>
      <c r="Q5">
        <v>1</v>
      </c>
      <c r="Y5">
        <v>4.0249999999999995</v>
      </c>
      <c r="AA5">
        <v>0</v>
      </c>
      <c r="AB5">
        <v>31.85</v>
      </c>
      <c r="AC5">
        <v>14.89</v>
      </c>
      <c r="AD5">
        <v>0</v>
      </c>
      <c r="AN5">
        <v>0</v>
      </c>
      <c r="AO5">
        <v>1</v>
      </c>
      <c r="AP5">
        <v>1</v>
      </c>
      <c r="AQ5">
        <v>0</v>
      </c>
      <c r="AR5">
        <v>0</v>
      </c>
      <c r="AT5">
        <v>3.5</v>
      </c>
      <c r="AU5" t="s">
        <v>17</v>
      </c>
      <c r="AV5">
        <v>0</v>
      </c>
      <c r="AW5">
        <v>2</v>
      </c>
      <c r="AX5">
        <v>12715358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B5">
        <v>0</v>
      </c>
    </row>
    <row r="6" spans="1:80" ht="12.75">
      <c r="A6">
        <f>ROW(Source!A24)</f>
        <v>24</v>
      </c>
      <c r="B6">
        <v>12715359</v>
      </c>
      <c r="C6">
        <v>12715353</v>
      </c>
      <c r="D6">
        <v>7231510</v>
      </c>
      <c r="E6">
        <v>1</v>
      </c>
      <c r="F6">
        <v>1</v>
      </c>
      <c r="G6">
        <v>7157832</v>
      </c>
      <c r="H6">
        <v>2</v>
      </c>
      <c r="I6" t="s">
        <v>84</v>
      </c>
      <c r="J6" t="s">
        <v>85</v>
      </c>
      <c r="K6" t="s">
        <v>86</v>
      </c>
      <c r="L6">
        <v>1368</v>
      </c>
      <c r="N6">
        <v>1011</v>
      </c>
      <c r="O6" t="s">
        <v>74</v>
      </c>
      <c r="P6" t="s">
        <v>74</v>
      </c>
      <c r="Q6">
        <v>1</v>
      </c>
      <c r="Y6">
        <v>14.731499999999999</v>
      </c>
      <c r="AA6">
        <v>0</v>
      </c>
      <c r="AB6">
        <v>2.36</v>
      </c>
      <c r="AC6">
        <v>0.04</v>
      </c>
      <c r="AD6">
        <v>0</v>
      </c>
      <c r="AN6">
        <v>0</v>
      </c>
      <c r="AO6">
        <v>1</v>
      </c>
      <c r="AP6">
        <v>1</v>
      </c>
      <c r="AQ6">
        <v>0</v>
      </c>
      <c r="AR6">
        <v>0</v>
      </c>
      <c r="AT6">
        <v>12.81</v>
      </c>
      <c r="AU6" t="s">
        <v>17</v>
      </c>
      <c r="AV6">
        <v>0</v>
      </c>
      <c r="AW6">
        <v>2</v>
      </c>
      <c r="AX6">
        <v>12715359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B6">
        <v>0</v>
      </c>
    </row>
    <row r="7" spans="1:80" ht="12.75">
      <c r="A7">
        <f>ROW(Source!A24)</f>
        <v>24</v>
      </c>
      <c r="B7">
        <v>12715360</v>
      </c>
      <c r="C7">
        <v>12715353</v>
      </c>
      <c r="D7">
        <v>7231511</v>
      </c>
      <c r="E7">
        <v>1</v>
      </c>
      <c r="F7">
        <v>1</v>
      </c>
      <c r="G7">
        <v>7157832</v>
      </c>
      <c r="H7">
        <v>2</v>
      </c>
      <c r="I7" t="s">
        <v>87</v>
      </c>
      <c r="J7" t="s">
        <v>88</v>
      </c>
      <c r="K7" t="s">
        <v>89</v>
      </c>
      <c r="L7">
        <v>1368</v>
      </c>
      <c r="N7">
        <v>1011</v>
      </c>
      <c r="O7" t="s">
        <v>74</v>
      </c>
      <c r="P7" t="s">
        <v>74</v>
      </c>
      <c r="Q7">
        <v>1</v>
      </c>
      <c r="Y7">
        <v>0.5175</v>
      </c>
      <c r="AA7">
        <v>0</v>
      </c>
      <c r="AB7">
        <v>3.53</v>
      </c>
      <c r="AC7">
        <v>0.04</v>
      </c>
      <c r="AD7">
        <v>0</v>
      </c>
      <c r="AN7">
        <v>0</v>
      </c>
      <c r="AO7">
        <v>1</v>
      </c>
      <c r="AP7">
        <v>1</v>
      </c>
      <c r="AQ7">
        <v>0</v>
      </c>
      <c r="AR7">
        <v>0</v>
      </c>
      <c r="AT7">
        <v>0.45</v>
      </c>
      <c r="AU7" t="s">
        <v>17</v>
      </c>
      <c r="AV7">
        <v>0</v>
      </c>
      <c r="AW7">
        <v>2</v>
      </c>
      <c r="AX7">
        <v>12715360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B7">
        <v>0</v>
      </c>
    </row>
    <row r="8" spans="1:80" ht="12.75">
      <c r="A8">
        <f>ROW(Source!A24)</f>
        <v>24</v>
      </c>
      <c r="B8">
        <v>12715361</v>
      </c>
      <c r="C8">
        <v>12715353</v>
      </c>
      <c r="D8">
        <v>7233773</v>
      </c>
      <c r="E8">
        <v>1</v>
      </c>
      <c r="F8">
        <v>1</v>
      </c>
      <c r="G8">
        <v>7157832</v>
      </c>
      <c r="H8">
        <v>3</v>
      </c>
      <c r="I8" t="s">
        <v>90</v>
      </c>
      <c r="J8" t="s">
        <v>91</v>
      </c>
      <c r="K8" t="s">
        <v>92</v>
      </c>
      <c r="L8">
        <v>1048</v>
      </c>
      <c r="N8">
        <v>1013</v>
      </c>
      <c r="O8" t="s">
        <v>93</v>
      </c>
      <c r="P8" t="s">
        <v>93</v>
      </c>
      <c r="Q8">
        <v>1</v>
      </c>
      <c r="Y8">
        <v>2.62</v>
      </c>
      <c r="AA8">
        <v>99.47</v>
      </c>
      <c r="AB8">
        <v>0</v>
      </c>
      <c r="AC8">
        <v>0</v>
      </c>
      <c r="AD8">
        <v>0</v>
      </c>
      <c r="AN8">
        <v>0</v>
      </c>
      <c r="AO8">
        <v>1</v>
      </c>
      <c r="AP8">
        <v>0</v>
      </c>
      <c r="AQ8">
        <v>0</v>
      </c>
      <c r="AR8">
        <v>0</v>
      </c>
      <c r="AT8">
        <v>2.62</v>
      </c>
      <c r="AV8">
        <v>0</v>
      </c>
      <c r="AW8">
        <v>2</v>
      </c>
      <c r="AX8">
        <v>12715361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B8">
        <v>0</v>
      </c>
    </row>
    <row r="9" spans="1:80" ht="12.75">
      <c r="A9">
        <f>ROW(Source!A24)</f>
        <v>24</v>
      </c>
      <c r="B9">
        <v>12715362</v>
      </c>
      <c r="C9">
        <v>12715353</v>
      </c>
      <c r="D9">
        <v>9283736</v>
      </c>
      <c r="E9">
        <v>1</v>
      </c>
      <c r="F9">
        <v>1</v>
      </c>
      <c r="G9">
        <v>7157832</v>
      </c>
      <c r="H9">
        <v>3</v>
      </c>
      <c r="I9" t="s">
        <v>94</v>
      </c>
      <c r="J9" t="s">
        <v>95</v>
      </c>
      <c r="K9" t="s">
        <v>96</v>
      </c>
      <c r="L9">
        <v>1355</v>
      </c>
      <c r="N9">
        <v>1010</v>
      </c>
      <c r="O9" t="s">
        <v>97</v>
      </c>
      <c r="P9" t="s">
        <v>97</v>
      </c>
      <c r="Q9">
        <v>100</v>
      </c>
      <c r="Y9">
        <v>23.83</v>
      </c>
      <c r="AA9">
        <v>99.28</v>
      </c>
      <c r="AB9">
        <v>0</v>
      </c>
      <c r="AC9">
        <v>0</v>
      </c>
      <c r="AD9">
        <v>0</v>
      </c>
      <c r="AN9">
        <v>0</v>
      </c>
      <c r="AO9">
        <v>1</v>
      </c>
      <c r="AP9">
        <v>0</v>
      </c>
      <c r="AQ9">
        <v>0</v>
      </c>
      <c r="AR9">
        <v>0</v>
      </c>
      <c r="AT9">
        <v>23.83</v>
      </c>
      <c r="AV9">
        <v>0</v>
      </c>
      <c r="AW9">
        <v>2</v>
      </c>
      <c r="AX9">
        <v>12715362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B9">
        <v>0</v>
      </c>
    </row>
    <row r="10" spans="1:80" ht="12.75">
      <c r="A10">
        <f>ROW(Source!A24)</f>
        <v>24</v>
      </c>
      <c r="B10">
        <v>12715363</v>
      </c>
      <c r="C10">
        <v>12715353</v>
      </c>
      <c r="D10">
        <v>9283738</v>
      </c>
      <c r="E10">
        <v>1</v>
      </c>
      <c r="F10">
        <v>1</v>
      </c>
      <c r="G10">
        <v>7157832</v>
      </c>
      <c r="H10">
        <v>3</v>
      </c>
      <c r="I10" t="s">
        <v>98</v>
      </c>
      <c r="J10" t="s">
        <v>99</v>
      </c>
      <c r="K10" t="s">
        <v>100</v>
      </c>
      <c r="L10">
        <v>1355</v>
      </c>
      <c r="N10">
        <v>1010</v>
      </c>
      <c r="O10" t="s">
        <v>97</v>
      </c>
      <c r="P10" t="s">
        <v>97</v>
      </c>
      <c r="Q10">
        <v>100</v>
      </c>
      <c r="Y10">
        <v>2.71</v>
      </c>
      <c r="AA10">
        <v>1144.16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2.71</v>
      </c>
      <c r="AV10">
        <v>0</v>
      </c>
      <c r="AW10">
        <v>2</v>
      </c>
      <c r="AX10">
        <v>12715363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B10">
        <v>0</v>
      </c>
    </row>
    <row r="11" spans="1:80" ht="12.75">
      <c r="A11">
        <f>ROW(Source!A24)</f>
        <v>24</v>
      </c>
      <c r="B11">
        <v>12715364</v>
      </c>
      <c r="C11">
        <v>12715353</v>
      </c>
      <c r="D11">
        <v>9283740</v>
      </c>
      <c r="E11">
        <v>1</v>
      </c>
      <c r="F11">
        <v>1</v>
      </c>
      <c r="G11">
        <v>7157832</v>
      </c>
      <c r="H11">
        <v>3</v>
      </c>
      <c r="I11" t="s">
        <v>101</v>
      </c>
      <c r="J11" t="s">
        <v>102</v>
      </c>
      <c r="K11" t="s">
        <v>103</v>
      </c>
      <c r="L11">
        <v>1355</v>
      </c>
      <c r="N11">
        <v>1010</v>
      </c>
      <c r="O11" t="s">
        <v>97</v>
      </c>
      <c r="P11" t="s">
        <v>97</v>
      </c>
      <c r="Q11">
        <v>100</v>
      </c>
      <c r="Y11">
        <v>0.83</v>
      </c>
      <c r="AA11">
        <v>703.98</v>
      </c>
      <c r="AB11">
        <v>0</v>
      </c>
      <c r="AC11">
        <v>0</v>
      </c>
      <c r="AD11">
        <v>0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0.83</v>
      </c>
      <c r="AV11">
        <v>0</v>
      </c>
      <c r="AW11">
        <v>2</v>
      </c>
      <c r="AX11">
        <v>12715364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B11">
        <v>0</v>
      </c>
    </row>
    <row r="12" spans="1:80" ht="12.75">
      <c r="A12">
        <f>ROW(Source!A24)</f>
        <v>24</v>
      </c>
      <c r="B12">
        <v>12715365</v>
      </c>
      <c r="C12">
        <v>12715353</v>
      </c>
      <c r="D12">
        <v>9283741</v>
      </c>
      <c r="E12">
        <v>1</v>
      </c>
      <c r="F12">
        <v>1</v>
      </c>
      <c r="G12">
        <v>7157832</v>
      </c>
      <c r="H12">
        <v>3</v>
      </c>
      <c r="I12" t="s">
        <v>104</v>
      </c>
      <c r="J12" t="s">
        <v>105</v>
      </c>
      <c r="K12" t="s">
        <v>106</v>
      </c>
      <c r="L12">
        <v>1355</v>
      </c>
      <c r="N12">
        <v>1010</v>
      </c>
      <c r="O12" t="s">
        <v>97</v>
      </c>
      <c r="P12" t="s">
        <v>97</v>
      </c>
      <c r="Q12">
        <v>100</v>
      </c>
      <c r="Y12">
        <v>0.79</v>
      </c>
      <c r="AA12">
        <v>704.17</v>
      </c>
      <c r="AB12">
        <v>0</v>
      </c>
      <c r="AC12">
        <v>0</v>
      </c>
      <c r="AD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0.79</v>
      </c>
      <c r="AV12">
        <v>0</v>
      </c>
      <c r="AW12">
        <v>2</v>
      </c>
      <c r="AX12">
        <v>12715365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B12">
        <v>0</v>
      </c>
    </row>
    <row r="13" spans="1:80" ht="12.75">
      <c r="A13">
        <f>ROW(Source!A24)</f>
        <v>24</v>
      </c>
      <c r="B13">
        <v>12715366</v>
      </c>
      <c r="C13">
        <v>12715353</v>
      </c>
      <c r="D13">
        <v>9283742</v>
      </c>
      <c r="E13">
        <v>1</v>
      </c>
      <c r="F13">
        <v>1</v>
      </c>
      <c r="G13">
        <v>7157832</v>
      </c>
      <c r="H13">
        <v>3</v>
      </c>
      <c r="I13" t="s">
        <v>107</v>
      </c>
      <c r="J13" t="s">
        <v>108</v>
      </c>
      <c r="K13" t="s">
        <v>109</v>
      </c>
      <c r="L13">
        <v>1355</v>
      </c>
      <c r="N13">
        <v>1010</v>
      </c>
      <c r="O13" t="s">
        <v>97</v>
      </c>
      <c r="P13" t="s">
        <v>97</v>
      </c>
      <c r="Q13">
        <v>100</v>
      </c>
      <c r="Y13">
        <v>2.62</v>
      </c>
      <c r="AA13">
        <v>381.55</v>
      </c>
      <c r="AB13">
        <v>0</v>
      </c>
      <c r="AC13">
        <v>0</v>
      </c>
      <c r="AD13">
        <v>0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2.62</v>
      </c>
      <c r="AV13">
        <v>0</v>
      </c>
      <c r="AW13">
        <v>2</v>
      </c>
      <c r="AX13">
        <v>12715366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B13">
        <v>0</v>
      </c>
    </row>
    <row r="14" spans="1:80" ht="12.75">
      <c r="A14">
        <f>ROW(Source!A24)</f>
        <v>24</v>
      </c>
      <c r="B14">
        <v>12715367</v>
      </c>
      <c r="C14">
        <v>12715353</v>
      </c>
      <c r="D14">
        <v>9283743</v>
      </c>
      <c r="E14">
        <v>1</v>
      </c>
      <c r="F14">
        <v>1</v>
      </c>
      <c r="G14">
        <v>7157832</v>
      </c>
      <c r="H14">
        <v>3</v>
      </c>
      <c r="I14" t="s">
        <v>110</v>
      </c>
      <c r="J14" t="s">
        <v>111</v>
      </c>
      <c r="K14" t="s">
        <v>112</v>
      </c>
      <c r="L14">
        <v>1355</v>
      </c>
      <c r="N14">
        <v>1010</v>
      </c>
      <c r="O14" t="s">
        <v>97</v>
      </c>
      <c r="P14" t="s">
        <v>97</v>
      </c>
      <c r="Q14">
        <v>100</v>
      </c>
      <c r="Y14">
        <v>0.42</v>
      </c>
      <c r="AA14">
        <v>382</v>
      </c>
      <c r="AB14">
        <v>0</v>
      </c>
      <c r="AC14">
        <v>0</v>
      </c>
      <c r="AD14">
        <v>0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0.42</v>
      </c>
      <c r="AV14">
        <v>0</v>
      </c>
      <c r="AW14">
        <v>2</v>
      </c>
      <c r="AX14">
        <v>12715367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B14">
        <v>0</v>
      </c>
    </row>
    <row r="15" spans="1:80" ht="12.75">
      <c r="A15">
        <f>ROW(Source!A24)</f>
        <v>24</v>
      </c>
      <c r="B15">
        <v>12715368</v>
      </c>
      <c r="C15">
        <v>12715353</v>
      </c>
      <c r="D15">
        <v>9283745</v>
      </c>
      <c r="E15">
        <v>1</v>
      </c>
      <c r="F15">
        <v>1</v>
      </c>
      <c r="G15">
        <v>7157832</v>
      </c>
      <c r="H15">
        <v>3</v>
      </c>
      <c r="I15" t="s">
        <v>113</v>
      </c>
      <c r="J15" t="s">
        <v>114</v>
      </c>
      <c r="K15" t="s">
        <v>115</v>
      </c>
      <c r="L15">
        <v>1355</v>
      </c>
      <c r="N15">
        <v>1010</v>
      </c>
      <c r="O15" t="s">
        <v>97</v>
      </c>
      <c r="P15" t="s">
        <v>97</v>
      </c>
      <c r="Q15">
        <v>100</v>
      </c>
      <c r="Y15">
        <v>2.62</v>
      </c>
      <c r="AA15">
        <v>117.3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2.62</v>
      </c>
      <c r="AV15">
        <v>0</v>
      </c>
      <c r="AW15">
        <v>2</v>
      </c>
      <c r="AX15">
        <v>12715368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B15">
        <v>0</v>
      </c>
    </row>
    <row r="16" spans="1:80" ht="12.75">
      <c r="A16">
        <f>ROW(Source!A24)</f>
        <v>24</v>
      </c>
      <c r="B16">
        <v>12715369</v>
      </c>
      <c r="C16">
        <v>12715353</v>
      </c>
      <c r="D16">
        <v>9283753</v>
      </c>
      <c r="E16">
        <v>1</v>
      </c>
      <c r="F16">
        <v>1</v>
      </c>
      <c r="G16">
        <v>7157832</v>
      </c>
      <c r="H16">
        <v>3</v>
      </c>
      <c r="I16" t="s">
        <v>116</v>
      </c>
      <c r="J16" t="s">
        <v>117</v>
      </c>
      <c r="K16" t="s">
        <v>118</v>
      </c>
      <c r="L16">
        <v>1355</v>
      </c>
      <c r="N16">
        <v>1010</v>
      </c>
      <c r="O16" t="s">
        <v>97</v>
      </c>
      <c r="P16" t="s">
        <v>97</v>
      </c>
      <c r="Q16">
        <v>100</v>
      </c>
      <c r="Y16">
        <v>2.62</v>
      </c>
      <c r="AA16">
        <v>1096.75</v>
      </c>
      <c r="AB16">
        <v>0</v>
      </c>
      <c r="AC16">
        <v>0</v>
      </c>
      <c r="AD16">
        <v>0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2.62</v>
      </c>
      <c r="AV16">
        <v>0</v>
      </c>
      <c r="AW16">
        <v>2</v>
      </c>
      <c r="AX16">
        <v>12715369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B16">
        <v>0</v>
      </c>
    </row>
    <row r="17" spans="1:80" ht="12.75">
      <c r="A17">
        <f>ROW(Source!A24)</f>
        <v>24</v>
      </c>
      <c r="B17">
        <v>12715370</v>
      </c>
      <c r="C17">
        <v>12715353</v>
      </c>
      <c r="D17">
        <v>9284224</v>
      </c>
      <c r="E17">
        <v>1</v>
      </c>
      <c r="F17">
        <v>1</v>
      </c>
      <c r="G17">
        <v>7157832</v>
      </c>
      <c r="H17">
        <v>3</v>
      </c>
      <c r="I17" t="s">
        <v>119</v>
      </c>
      <c r="J17" t="s">
        <v>120</v>
      </c>
      <c r="K17" t="s">
        <v>121</v>
      </c>
      <c r="L17">
        <v>1301</v>
      </c>
      <c r="N17">
        <v>1003</v>
      </c>
      <c r="O17" t="s">
        <v>122</v>
      </c>
      <c r="P17" t="s">
        <v>122</v>
      </c>
      <c r="Q17">
        <v>1</v>
      </c>
      <c r="Y17">
        <v>11.97</v>
      </c>
      <c r="AA17">
        <v>85.36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11.97</v>
      </c>
      <c r="AV17">
        <v>0</v>
      </c>
      <c r="AW17">
        <v>2</v>
      </c>
      <c r="AX17">
        <v>12715370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B17">
        <v>0</v>
      </c>
    </row>
    <row r="18" spans="1:80" ht="12.75">
      <c r="A18">
        <f>ROW(Source!A24)</f>
        <v>24</v>
      </c>
      <c r="B18">
        <v>12715371</v>
      </c>
      <c r="C18">
        <v>12715353</v>
      </c>
      <c r="D18">
        <v>9284227</v>
      </c>
      <c r="E18">
        <v>1</v>
      </c>
      <c r="F18">
        <v>1</v>
      </c>
      <c r="G18">
        <v>7157832</v>
      </c>
      <c r="H18">
        <v>3</v>
      </c>
      <c r="I18" t="s">
        <v>123</v>
      </c>
      <c r="J18" t="s">
        <v>124</v>
      </c>
      <c r="K18" t="s">
        <v>125</v>
      </c>
      <c r="L18">
        <v>1301</v>
      </c>
      <c r="N18">
        <v>1003</v>
      </c>
      <c r="O18" t="s">
        <v>122</v>
      </c>
      <c r="P18" t="s">
        <v>122</v>
      </c>
      <c r="Q18">
        <v>1</v>
      </c>
      <c r="Y18">
        <v>195.3</v>
      </c>
      <c r="AA18">
        <v>69.2</v>
      </c>
      <c r="AB18">
        <v>0</v>
      </c>
      <c r="AC18">
        <v>0</v>
      </c>
      <c r="AD18">
        <v>0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195.3</v>
      </c>
      <c r="AV18">
        <v>0</v>
      </c>
      <c r="AW18">
        <v>2</v>
      </c>
      <c r="AX18">
        <v>12715371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B18">
        <v>0</v>
      </c>
    </row>
    <row r="19" spans="1:80" ht="12.75">
      <c r="A19">
        <f>ROW(Source!A24)</f>
        <v>24</v>
      </c>
      <c r="B19">
        <v>12715372</v>
      </c>
      <c r="C19">
        <v>12715353</v>
      </c>
      <c r="D19">
        <v>9284228</v>
      </c>
      <c r="E19">
        <v>1</v>
      </c>
      <c r="F19">
        <v>1</v>
      </c>
      <c r="G19">
        <v>7157832</v>
      </c>
      <c r="H19">
        <v>3</v>
      </c>
      <c r="I19" t="s">
        <v>126</v>
      </c>
      <c r="J19" t="s">
        <v>127</v>
      </c>
      <c r="K19" t="s">
        <v>128</v>
      </c>
      <c r="L19">
        <v>1301</v>
      </c>
      <c r="N19">
        <v>1003</v>
      </c>
      <c r="O19" t="s">
        <v>122</v>
      </c>
      <c r="P19" t="s">
        <v>122</v>
      </c>
      <c r="Q19">
        <v>1</v>
      </c>
      <c r="Y19">
        <v>16.7</v>
      </c>
      <c r="AA19">
        <v>50.23</v>
      </c>
      <c r="AB19">
        <v>0</v>
      </c>
      <c r="AC19">
        <v>0</v>
      </c>
      <c r="AD19">
        <v>0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16.7</v>
      </c>
      <c r="AV19">
        <v>0</v>
      </c>
      <c r="AW19">
        <v>2</v>
      </c>
      <c r="AX19">
        <v>12715372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B19">
        <v>0</v>
      </c>
    </row>
    <row r="20" spans="1:80" ht="12.75">
      <c r="A20">
        <f>ROW(Source!A24)</f>
        <v>24</v>
      </c>
      <c r="B20">
        <v>12715373</v>
      </c>
      <c r="C20">
        <v>12715353</v>
      </c>
      <c r="D20">
        <v>7238336</v>
      </c>
      <c r="E20">
        <v>1</v>
      </c>
      <c r="F20">
        <v>1</v>
      </c>
      <c r="G20">
        <v>7157832</v>
      </c>
      <c r="H20">
        <v>3</v>
      </c>
      <c r="I20" t="s">
        <v>129</v>
      </c>
      <c r="J20" t="s">
        <v>130</v>
      </c>
      <c r="K20" t="s">
        <v>131</v>
      </c>
      <c r="L20">
        <v>1354</v>
      </c>
      <c r="N20">
        <v>1010</v>
      </c>
      <c r="O20" t="s">
        <v>132</v>
      </c>
      <c r="P20" t="s">
        <v>132</v>
      </c>
      <c r="Q20">
        <v>1</v>
      </c>
      <c r="Y20">
        <v>2.6</v>
      </c>
      <c r="AA20">
        <v>123.04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2.6</v>
      </c>
      <c r="AV20">
        <v>0</v>
      </c>
      <c r="AW20">
        <v>2</v>
      </c>
      <c r="AX20">
        <v>12715373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B20">
        <v>0</v>
      </c>
    </row>
    <row r="21" spans="1:80" ht="12.75">
      <c r="A21">
        <f>ROW(Source!A24)</f>
        <v>24</v>
      </c>
      <c r="B21">
        <v>12715374</v>
      </c>
      <c r="C21">
        <v>12715353</v>
      </c>
      <c r="D21">
        <v>9265279</v>
      </c>
      <c r="E21">
        <v>7157832</v>
      </c>
      <c r="F21">
        <v>1</v>
      </c>
      <c r="G21">
        <v>7157832</v>
      </c>
      <c r="H21">
        <v>3</v>
      </c>
      <c r="I21" t="s">
        <v>133</v>
      </c>
      <c r="K21" t="s">
        <v>134</v>
      </c>
      <c r="L21">
        <v>1354</v>
      </c>
      <c r="N21">
        <v>1010</v>
      </c>
      <c r="O21" t="s">
        <v>132</v>
      </c>
      <c r="P21" t="s">
        <v>132</v>
      </c>
      <c r="Q21">
        <v>1</v>
      </c>
      <c r="Y21">
        <v>0</v>
      </c>
      <c r="AA21">
        <v>0</v>
      </c>
      <c r="AB21">
        <v>0</v>
      </c>
      <c r="AC21">
        <v>0</v>
      </c>
      <c r="AD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T21">
        <v>0</v>
      </c>
      <c r="AV21">
        <v>0</v>
      </c>
      <c r="AW21">
        <v>2</v>
      </c>
      <c r="AX21">
        <v>12715374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B21">
        <v>0</v>
      </c>
    </row>
    <row r="22" spans="1:80" ht="12.75">
      <c r="A22">
        <f>ROW(Source!A24)</f>
        <v>24</v>
      </c>
      <c r="B22">
        <v>12715375</v>
      </c>
      <c r="C22">
        <v>12715353</v>
      </c>
      <c r="D22">
        <v>9265291</v>
      </c>
      <c r="E22">
        <v>7157832</v>
      </c>
      <c r="F22">
        <v>1</v>
      </c>
      <c r="G22">
        <v>7157832</v>
      </c>
      <c r="H22">
        <v>3</v>
      </c>
      <c r="I22" t="s">
        <v>135</v>
      </c>
      <c r="K22" t="s">
        <v>136</v>
      </c>
      <c r="L22">
        <v>1354</v>
      </c>
      <c r="N22">
        <v>1010</v>
      </c>
      <c r="O22" t="s">
        <v>132</v>
      </c>
      <c r="P22" t="s">
        <v>132</v>
      </c>
      <c r="Q22">
        <v>1</v>
      </c>
      <c r="Y22">
        <v>0</v>
      </c>
      <c r="AA22">
        <v>0</v>
      </c>
      <c r="AB22">
        <v>0</v>
      </c>
      <c r="AC22">
        <v>0</v>
      </c>
      <c r="AD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T22">
        <v>0</v>
      </c>
      <c r="AV22">
        <v>0</v>
      </c>
      <c r="AW22">
        <v>2</v>
      </c>
      <c r="AX22">
        <v>12715375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B22">
        <v>0</v>
      </c>
    </row>
    <row r="23" spans="1:80" ht="12.75">
      <c r="A23">
        <f>ROW(Source!A24)</f>
        <v>24</v>
      </c>
      <c r="B23">
        <v>12715376</v>
      </c>
      <c r="C23">
        <v>12715353</v>
      </c>
      <c r="D23">
        <v>9269384</v>
      </c>
      <c r="E23">
        <v>7157832</v>
      </c>
      <c r="F23">
        <v>1</v>
      </c>
      <c r="G23">
        <v>7157832</v>
      </c>
      <c r="H23">
        <v>3</v>
      </c>
      <c r="I23" t="s">
        <v>137</v>
      </c>
      <c r="K23" t="s">
        <v>138</v>
      </c>
      <c r="L23">
        <v>1327</v>
      </c>
      <c r="N23">
        <v>1005</v>
      </c>
      <c r="O23" t="s">
        <v>24</v>
      </c>
      <c r="P23" t="s">
        <v>24</v>
      </c>
      <c r="Q23">
        <v>1</v>
      </c>
      <c r="Y23">
        <v>106</v>
      </c>
      <c r="AA23">
        <v>0</v>
      </c>
      <c r="AB23">
        <v>0</v>
      </c>
      <c r="AC23">
        <v>0</v>
      </c>
      <c r="AD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T23">
        <v>106</v>
      </c>
      <c r="AV23">
        <v>0</v>
      </c>
      <c r="AW23">
        <v>2</v>
      </c>
      <c r="AX23">
        <v>12715376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B23">
        <v>0</v>
      </c>
    </row>
    <row r="24" spans="1:80" ht="12.75">
      <c r="A24">
        <f>ROW(Source!A24)</f>
        <v>24</v>
      </c>
      <c r="B24">
        <v>12715429</v>
      </c>
      <c r="C24">
        <v>12715353</v>
      </c>
      <c r="D24">
        <v>0</v>
      </c>
      <c r="E24">
        <v>0</v>
      </c>
      <c r="F24">
        <v>1</v>
      </c>
      <c r="G24">
        <v>7157832</v>
      </c>
      <c r="H24">
        <v>3</v>
      </c>
      <c r="I24" t="s">
        <v>22</v>
      </c>
      <c r="K24" t="s">
        <v>23</v>
      </c>
      <c r="L24">
        <v>1327</v>
      </c>
      <c r="N24">
        <v>1005</v>
      </c>
      <c r="O24" t="s">
        <v>24</v>
      </c>
      <c r="P24" t="s">
        <v>24</v>
      </c>
      <c r="Q24">
        <v>1</v>
      </c>
      <c r="Y24">
        <v>100</v>
      </c>
      <c r="AA24">
        <v>1800</v>
      </c>
      <c r="AB24">
        <v>0</v>
      </c>
      <c r="AC24">
        <v>0</v>
      </c>
      <c r="AD24">
        <v>0</v>
      </c>
      <c r="AN24">
        <v>0</v>
      </c>
      <c r="AO24">
        <v>0</v>
      </c>
      <c r="AP24">
        <v>1</v>
      </c>
      <c r="AQ24">
        <v>0</v>
      </c>
      <c r="AR24">
        <v>0</v>
      </c>
      <c r="AT24">
        <v>100</v>
      </c>
      <c r="AV24">
        <v>0</v>
      </c>
      <c r="AW24">
        <v>1</v>
      </c>
      <c r="AX24">
        <v>-1</v>
      </c>
      <c r="AY24">
        <v>0</v>
      </c>
      <c r="AZ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B24">
        <v>0</v>
      </c>
    </row>
    <row r="25" spans="1:80" ht="12.75">
      <c r="A25">
        <f>ROW(Source!A26)</f>
        <v>26</v>
      </c>
      <c r="B25">
        <v>12715395</v>
      </c>
      <c r="C25">
        <v>12715394</v>
      </c>
      <c r="D25">
        <v>7157835</v>
      </c>
      <c r="E25">
        <v>7157832</v>
      </c>
      <c r="F25">
        <v>1</v>
      </c>
      <c r="G25">
        <v>7157832</v>
      </c>
      <c r="H25">
        <v>1</v>
      </c>
      <c r="I25" t="s">
        <v>68</v>
      </c>
      <c r="K25" t="s">
        <v>69</v>
      </c>
      <c r="L25">
        <v>1191</v>
      </c>
      <c r="N25">
        <v>1013</v>
      </c>
      <c r="O25" t="s">
        <v>70</v>
      </c>
      <c r="P25" t="s">
        <v>70</v>
      </c>
      <c r="Q25">
        <v>1</v>
      </c>
      <c r="Y25">
        <v>295.596</v>
      </c>
      <c r="AA25">
        <v>0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1</v>
      </c>
      <c r="AQ25">
        <v>0</v>
      </c>
      <c r="AR25">
        <v>0</v>
      </c>
      <c r="AT25">
        <v>257.04</v>
      </c>
      <c r="AU25" t="s">
        <v>17</v>
      </c>
      <c r="AV25">
        <v>1</v>
      </c>
      <c r="AW25">
        <v>2</v>
      </c>
      <c r="AX25">
        <v>12715395</v>
      </c>
      <c r="AY25">
        <v>1</v>
      </c>
      <c r="AZ25">
        <v>0</v>
      </c>
      <c r="BA25">
        <v>24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B25">
        <v>0</v>
      </c>
    </row>
    <row r="26" spans="1:80" ht="12.75">
      <c r="A26">
        <f>ROW(Source!A26)</f>
        <v>26</v>
      </c>
      <c r="B26">
        <v>12715396</v>
      </c>
      <c r="C26">
        <v>12715394</v>
      </c>
      <c r="D26">
        <v>7231465</v>
      </c>
      <c r="E26">
        <v>1</v>
      </c>
      <c r="F26">
        <v>1</v>
      </c>
      <c r="G26">
        <v>7157832</v>
      </c>
      <c r="H26">
        <v>2</v>
      </c>
      <c r="I26" t="s">
        <v>139</v>
      </c>
      <c r="J26" t="s">
        <v>140</v>
      </c>
      <c r="K26" t="s">
        <v>141</v>
      </c>
      <c r="L26">
        <v>1368</v>
      </c>
      <c r="N26">
        <v>1011</v>
      </c>
      <c r="O26" t="s">
        <v>74</v>
      </c>
      <c r="P26" t="s">
        <v>74</v>
      </c>
      <c r="Q26">
        <v>1</v>
      </c>
      <c r="Y26">
        <v>25.759999999999998</v>
      </c>
      <c r="AA26">
        <v>0</v>
      </c>
      <c r="AB26">
        <v>0.81</v>
      </c>
      <c r="AC26">
        <v>0.03</v>
      </c>
      <c r="AD26">
        <v>0</v>
      </c>
      <c r="AN26">
        <v>0</v>
      </c>
      <c r="AO26">
        <v>1</v>
      </c>
      <c r="AP26">
        <v>1</v>
      </c>
      <c r="AQ26">
        <v>0</v>
      </c>
      <c r="AR26">
        <v>0</v>
      </c>
      <c r="AT26">
        <v>22.4</v>
      </c>
      <c r="AU26" t="s">
        <v>17</v>
      </c>
      <c r="AV26">
        <v>0</v>
      </c>
      <c r="AW26">
        <v>2</v>
      </c>
      <c r="AX26">
        <v>12715396</v>
      </c>
      <c r="AY26">
        <v>1</v>
      </c>
      <c r="AZ26">
        <v>0</v>
      </c>
      <c r="BA26">
        <v>25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B26">
        <v>0</v>
      </c>
    </row>
    <row r="27" spans="1:80" ht="12.75">
      <c r="A27">
        <f>ROW(Source!A26)</f>
        <v>26</v>
      </c>
      <c r="B27">
        <v>12715397</v>
      </c>
      <c r="C27">
        <v>12715394</v>
      </c>
      <c r="D27">
        <v>7231491</v>
      </c>
      <c r="E27">
        <v>1</v>
      </c>
      <c r="F27">
        <v>1</v>
      </c>
      <c r="G27">
        <v>7157832</v>
      </c>
      <c r="H27">
        <v>2</v>
      </c>
      <c r="I27" t="s">
        <v>75</v>
      </c>
      <c r="J27" t="s">
        <v>76</v>
      </c>
      <c r="K27" t="s">
        <v>77</v>
      </c>
      <c r="L27">
        <v>1368</v>
      </c>
      <c r="N27">
        <v>1011</v>
      </c>
      <c r="O27" t="s">
        <v>74</v>
      </c>
      <c r="P27" t="s">
        <v>74</v>
      </c>
      <c r="Q27">
        <v>1</v>
      </c>
      <c r="Y27">
        <v>19.205</v>
      </c>
      <c r="AA27">
        <v>0</v>
      </c>
      <c r="AB27">
        <v>0.64</v>
      </c>
      <c r="AC27">
        <v>0.04</v>
      </c>
      <c r="AD27">
        <v>0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16.7</v>
      </c>
      <c r="AU27" t="s">
        <v>17</v>
      </c>
      <c r="AV27">
        <v>0</v>
      </c>
      <c r="AW27">
        <v>2</v>
      </c>
      <c r="AX27">
        <v>12715397</v>
      </c>
      <c r="AY27">
        <v>1</v>
      </c>
      <c r="AZ27">
        <v>0</v>
      </c>
      <c r="BA27">
        <v>26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B27">
        <v>0</v>
      </c>
    </row>
    <row r="28" spans="1:80" ht="12.75">
      <c r="A28">
        <f>ROW(Source!A26)</f>
        <v>26</v>
      </c>
      <c r="B28">
        <v>12715398</v>
      </c>
      <c r="C28">
        <v>12715394</v>
      </c>
      <c r="D28">
        <v>7231445</v>
      </c>
      <c r="E28">
        <v>1</v>
      </c>
      <c r="F28">
        <v>1</v>
      </c>
      <c r="G28">
        <v>7157832</v>
      </c>
      <c r="H28">
        <v>2</v>
      </c>
      <c r="I28" t="s">
        <v>78</v>
      </c>
      <c r="J28" t="s">
        <v>79</v>
      </c>
      <c r="K28" t="s">
        <v>80</v>
      </c>
      <c r="L28">
        <v>1368</v>
      </c>
      <c r="N28">
        <v>1011</v>
      </c>
      <c r="O28" t="s">
        <v>74</v>
      </c>
      <c r="P28" t="s">
        <v>74</v>
      </c>
      <c r="Q28">
        <v>1</v>
      </c>
      <c r="Y28">
        <v>38.294999999999995</v>
      </c>
      <c r="AA28">
        <v>0</v>
      </c>
      <c r="AB28">
        <v>2.36</v>
      </c>
      <c r="AC28">
        <v>0.1</v>
      </c>
      <c r="AD28">
        <v>0</v>
      </c>
      <c r="AN28">
        <v>0</v>
      </c>
      <c r="AO28">
        <v>1</v>
      </c>
      <c r="AP28">
        <v>1</v>
      </c>
      <c r="AQ28">
        <v>0</v>
      </c>
      <c r="AR28">
        <v>0</v>
      </c>
      <c r="AT28">
        <v>33.3</v>
      </c>
      <c r="AU28" t="s">
        <v>17</v>
      </c>
      <c r="AV28">
        <v>0</v>
      </c>
      <c r="AW28">
        <v>2</v>
      </c>
      <c r="AX28">
        <v>12715398</v>
      </c>
      <c r="AY28">
        <v>1</v>
      </c>
      <c r="AZ28">
        <v>0</v>
      </c>
      <c r="BA28">
        <v>27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B28">
        <v>0</v>
      </c>
    </row>
    <row r="29" spans="1:80" ht="12.75">
      <c r="A29">
        <f>ROW(Source!A26)</f>
        <v>26</v>
      </c>
      <c r="B29">
        <v>12715407</v>
      </c>
      <c r="C29">
        <v>12715394</v>
      </c>
      <c r="D29">
        <v>7182707</v>
      </c>
      <c r="E29">
        <v>7157832</v>
      </c>
      <c r="F29">
        <v>1</v>
      </c>
      <c r="G29">
        <v>7157832</v>
      </c>
      <c r="H29">
        <v>3</v>
      </c>
      <c r="I29" t="s">
        <v>142</v>
      </c>
      <c r="K29" t="s">
        <v>143</v>
      </c>
      <c r="L29">
        <v>1344</v>
      </c>
      <c r="N29">
        <v>1008</v>
      </c>
      <c r="O29" t="s">
        <v>144</v>
      </c>
      <c r="P29" t="s">
        <v>144</v>
      </c>
      <c r="Q29">
        <v>1</v>
      </c>
      <c r="Y29">
        <v>265</v>
      </c>
      <c r="AA29">
        <v>1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265</v>
      </c>
      <c r="AV29">
        <v>0</v>
      </c>
      <c r="AW29">
        <v>2</v>
      </c>
      <c r="AX29">
        <v>12715407</v>
      </c>
      <c r="AY29">
        <v>1</v>
      </c>
      <c r="AZ29">
        <v>0</v>
      </c>
      <c r="BA29">
        <v>28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B29">
        <v>0</v>
      </c>
    </row>
    <row r="30" spans="1:80" ht="12.75">
      <c r="A30">
        <f>ROW(Source!A26)</f>
        <v>26</v>
      </c>
      <c r="B30">
        <v>12715399</v>
      </c>
      <c r="C30">
        <v>12715394</v>
      </c>
      <c r="D30">
        <v>7233774</v>
      </c>
      <c r="E30">
        <v>1</v>
      </c>
      <c r="F30">
        <v>1</v>
      </c>
      <c r="G30">
        <v>7157832</v>
      </c>
      <c r="H30">
        <v>3</v>
      </c>
      <c r="I30" t="s">
        <v>145</v>
      </c>
      <c r="J30" t="s">
        <v>146</v>
      </c>
      <c r="K30" t="s">
        <v>147</v>
      </c>
      <c r="L30">
        <v>1355</v>
      </c>
      <c r="N30">
        <v>1010</v>
      </c>
      <c r="O30" t="s">
        <v>97</v>
      </c>
      <c r="P30" t="s">
        <v>97</v>
      </c>
      <c r="Q30">
        <v>100</v>
      </c>
      <c r="Y30">
        <v>12.15</v>
      </c>
      <c r="AA30">
        <v>64.26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12.15</v>
      </c>
      <c r="AV30">
        <v>0</v>
      </c>
      <c r="AW30">
        <v>2</v>
      </c>
      <c r="AX30">
        <v>12715399</v>
      </c>
      <c r="AY30">
        <v>1</v>
      </c>
      <c r="AZ30">
        <v>0</v>
      </c>
      <c r="BA30">
        <v>29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B30">
        <v>0</v>
      </c>
    </row>
    <row r="31" spans="1:80" ht="12.75">
      <c r="A31">
        <f>ROW(Source!A26)</f>
        <v>26</v>
      </c>
      <c r="B31">
        <v>12715400</v>
      </c>
      <c r="C31">
        <v>12715394</v>
      </c>
      <c r="D31">
        <v>7233775</v>
      </c>
      <c r="E31">
        <v>1</v>
      </c>
      <c r="F31">
        <v>1</v>
      </c>
      <c r="G31">
        <v>7157832</v>
      </c>
      <c r="H31">
        <v>3</v>
      </c>
      <c r="I31" t="s">
        <v>148</v>
      </c>
      <c r="J31" t="s">
        <v>149</v>
      </c>
      <c r="K31" t="s">
        <v>150</v>
      </c>
      <c r="L31">
        <v>1355</v>
      </c>
      <c r="N31">
        <v>1010</v>
      </c>
      <c r="O31" t="s">
        <v>97</v>
      </c>
      <c r="P31" t="s">
        <v>97</v>
      </c>
      <c r="Q31">
        <v>100</v>
      </c>
      <c r="Y31">
        <v>1.02</v>
      </c>
      <c r="AA31">
        <v>89.96</v>
      </c>
      <c r="AB31">
        <v>0</v>
      </c>
      <c r="AC31">
        <v>0</v>
      </c>
      <c r="AD31">
        <v>0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1.02</v>
      </c>
      <c r="AV31">
        <v>0</v>
      </c>
      <c r="AW31">
        <v>2</v>
      </c>
      <c r="AX31">
        <v>12715400</v>
      </c>
      <c r="AY31">
        <v>1</v>
      </c>
      <c r="AZ31">
        <v>0</v>
      </c>
      <c r="BA31">
        <v>30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B31">
        <v>0</v>
      </c>
    </row>
    <row r="32" spans="1:80" ht="12.75">
      <c r="A32">
        <f>ROW(Source!A26)</f>
        <v>26</v>
      </c>
      <c r="B32">
        <v>12715401</v>
      </c>
      <c r="C32">
        <v>12715394</v>
      </c>
      <c r="D32">
        <v>7233776</v>
      </c>
      <c r="E32">
        <v>1</v>
      </c>
      <c r="F32">
        <v>1</v>
      </c>
      <c r="G32">
        <v>7157832</v>
      </c>
      <c r="H32">
        <v>3</v>
      </c>
      <c r="I32" t="s">
        <v>151</v>
      </c>
      <c r="J32" t="s">
        <v>152</v>
      </c>
      <c r="K32" t="s">
        <v>153</v>
      </c>
      <c r="L32">
        <v>1355</v>
      </c>
      <c r="N32">
        <v>1010</v>
      </c>
      <c r="O32" t="s">
        <v>97</v>
      </c>
      <c r="P32" t="s">
        <v>97</v>
      </c>
      <c r="Q32">
        <v>100</v>
      </c>
      <c r="Y32">
        <v>12.15</v>
      </c>
      <c r="AA32">
        <v>247.4</v>
      </c>
      <c r="AB32">
        <v>0</v>
      </c>
      <c r="AC32">
        <v>0</v>
      </c>
      <c r="AD32">
        <v>0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12.15</v>
      </c>
      <c r="AV32">
        <v>0</v>
      </c>
      <c r="AW32">
        <v>2</v>
      </c>
      <c r="AX32">
        <v>12715401</v>
      </c>
      <c r="AY32">
        <v>1</v>
      </c>
      <c r="AZ32">
        <v>0</v>
      </c>
      <c r="BA32">
        <v>31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B32">
        <v>0</v>
      </c>
    </row>
    <row r="33" spans="1:80" ht="12.75">
      <c r="A33">
        <f>ROW(Source!A26)</f>
        <v>26</v>
      </c>
      <c r="B33">
        <v>12715402</v>
      </c>
      <c r="C33">
        <v>12715394</v>
      </c>
      <c r="D33">
        <v>7238014</v>
      </c>
      <c r="E33">
        <v>1</v>
      </c>
      <c r="F33">
        <v>1</v>
      </c>
      <c r="G33">
        <v>7157832</v>
      </c>
      <c r="H33">
        <v>3</v>
      </c>
      <c r="I33" t="s">
        <v>154</v>
      </c>
      <c r="J33" t="s">
        <v>155</v>
      </c>
      <c r="K33" t="s">
        <v>156</v>
      </c>
      <c r="L33">
        <v>1327</v>
      </c>
      <c r="N33">
        <v>1005</v>
      </c>
      <c r="O33" t="s">
        <v>24</v>
      </c>
      <c r="P33" t="s">
        <v>24</v>
      </c>
      <c r="Q33">
        <v>1</v>
      </c>
      <c r="Y33">
        <v>26.7</v>
      </c>
      <c r="AA33">
        <v>59.35</v>
      </c>
      <c r="AB33">
        <v>0</v>
      </c>
      <c r="AC33">
        <v>0</v>
      </c>
      <c r="AD33">
        <v>0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26.7</v>
      </c>
      <c r="AV33">
        <v>0</v>
      </c>
      <c r="AW33">
        <v>2</v>
      </c>
      <c r="AX33">
        <v>12715402</v>
      </c>
      <c r="AY33">
        <v>1</v>
      </c>
      <c r="AZ33">
        <v>0</v>
      </c>
      <c r="BA33">
        <v>32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B33">
        <v>0</v>
      </c>
    </row>
    <row r="34" spans="1:80" ht="12.75">
      <c r="A34">
        <f>ROW(Source!A26)</f>
        <v>26</v>
      </c>
      <c r="B34">
        <v>12715403</v>
      </c>
      <c r="C34">
        <v>12715394</v>
      </c>
      <c r="D34">
        <v>7238015</v>
      </c>
      <c r="E34">
        <v>1</v>
      </c>
      <c r="F34">
        <v>1</v>
      </c>
      <c r="G34">
        <v>7157832</v>
      </c>
      <c r="H34">
        <v>3</v>
      </c>
      <c r="I34" t="s">
        <v>157</v>
      </c>
      <c r="J34" t="s">
        <v>158</v>
      </c>
      <c r="K34" t="s">
        <v>159</v>
      </c>
      <c r="L34">
        <v>1327</v>
      </c>
      <c r="N34">
        <v>1005</v>
      </c>
      <c r="O34" t="s">
        <v>24</v>
      </c>
      <c r="P34" t="s">
        <v>24</v>
      </c>
      <c r="Q34">
        <v>1</v>
      </c>
      <c r="Y34">
        <v>25.4</v>
      </c>
      <c r="AA34">
        <v>59.35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25.4</v>
      </c>
      <c r="AV34">
        <v>0</v>
      </c>
      <c r="AW34">
        <v>2</v>
      </c>
      <c r="AX34">
        <v>12715403</v>
      </c>
      <c r="AY34">
        <v>1</v>
      </c>
      <c r="AZ34">
        <v>0</v>
      </c>
      <c r="BA34">
        <v>33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B34">
        <v>0</v>
      </c>
    </row>
    <row r="35" spans="1:80" ht="12.75">
      <c r="A35">
        <f>ROW(Source!A26)</f>
        <v>26</v>
      </c>
      <c r="B35">
        <v>12715404</v>
      </c>
      <c r="C35">
        <v>12715394</v>
      </c>
      <c r="D35">
        <v>7238023</v>
      </c>
      <c r="E35">
        <v>1</v>
      </c>
      <c r="F35">
        <v>1</v>
      </c>
      <c r="G35">
        <v>7157832</v>
      </c>
      <c r="H35">
        <v>3</v>
      </c>
      <c r="I35" t="s">
        <v>160</v>
      </c>
      <c r="J35" t="s">
        <v>161</v>
      </c>
      <c r="K35" t="s">
        <v>162</v>
      </c>
      <c r="L35">
        <v>1355</v>
      </c>
      <c r="N35">
        <v>1010</v>
      </c>
      <c r="O35" t="s">
        <v>97</v>
      </c>
      <c r="P35" t="s">
        <v>97</v>
      </c>
      <c r="Q35">
        <v>100</v>
      </c>
      <c r="Y35">
        <v>4.5</v>
      </c>
      <c r="AA35">
        <v>228.63</v>
      </c>
      <c r="AB35">
        <v>0</v>
      </c>
      <c r="AC35">
        <v>0</v>
      </c>
      <c r="AD35">
        <v>0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4.5</v>
      </c>
      <c r="AV35">
        <v>0</v>
      </c>
      <c r="AW35">
        <v>2</v>
      </c>
      <c r="AX35">
        <v>12715404</v>
      </c>
      <c r="AY35">
        <v>1</v>
      </c>
      <c r="AZ35">
        <v>0</v>
      </c>
      <c r="BA35">
        <v>34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B35">
        <v>0</v>
      </c>
    </row>
    <row r="36" spans="1:80" ht="12.75">
      <c r="A36">
        <f>ROW(Source!A26)</f>
        <v>26</v>
      </c>
      <c r="B36">
        <v>12715405</v>
      </c>
      <c r="C36">
        <v>12715394</v>
      </c>
      <c r="D36">
        <v>7238024</v>
      </c>
      <c r="E36">
        <v>1</v>
      </c>
      <c r="F36">
        <v>1</v>
      </c>
      <c r="G36">
        <v>7157832</v>
      </c>
      <c r="H36">
        <v>3</v>
      </c>
      <c r="I36" t="s">
        <v>163</v>
      </c>
      <c r="J36" t="s">
        <v>164</v>
      </c>
      <c r="K36" t="s">
        <v>165</v>
      </c>
      <c r="L36">
        <v>1301</v>
      </c>
      <c r="N36">
        <v>1003</v>
      </c>
      <c r="O36" t="s">
        <v>122</v>
      </c>
      <c r="P36" t="s">
        <v>122</v>
      </c>
      <c r="Q36">
        <v>1</v>
      </c>
      <c r="Y36">
        <v>140</v>
      </c>
      <c r="AA36">
        <v>38.9</v>
      </c>
      <c r="AB36">
        <v>0</v>
      </c>
      <c r="AC36">
        <v>0</v>
      </c>
      <c r="AD36">
        <v>0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140</v>
      </c>
      <c r="AV36">
        <v>0</v>
      </c>
      <c r="AW36">
        <v>2</v>
      </c>
      <c r="AX36">
        <v>12715405</v>
      </c>
      <c r="AY36">
        <v>1</v>
      </c>
      <c r="AZ36">
        <v>0</v>
      </c>
      <c r="BA36">
        <v>35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B36">
        <v>0</v>
      </c>
    </row>
    <row r="37" spans="1:80" ht="12.75">
      <c r="A37">
        <f>ROW(Source!A26)</f>
        <v>26</v>
      </c>
      <c r="B37">
        <v>12715406</v>
      </c>
      <c r="C37">
        <v>12715394</v>
      </c>
      <c r="D37">
        <v>7180025</v>
      </c>
      <c r="E37">
        <v>7157832</v>
      </c>
      <c r="F37">
        <v>1</v>
      </c>
      <c r="G37">
        <v>7157832</v>
      </c>
      <c r="H37">
        <v>3</v>
      </c>
      <c r="I37" t="s">
        <v>166</v>
      </c>
      <c r="K37" t="s">
        <v>167</v>
      </c>
      <c r="L37">
        <v>1327</v>
      </c>
      <c r="N37">
        <v>1005</v>
      </c>
      <c r="O37" t="s">
        <v>24</v>
      </c>
      <c r="P37" t="s">
        <v>24</v>
      </c>
      <c r="Q37">
        <v>1</v>
      </c>
      <c r="Y37">
        <v>54</v>
      </c>
      <c r="AA37">
        <v>0</v>
      </c>
      <c r="AB37">
        <v>0</v>
      </c>
      <c r="AC37">
        <v>0</v>
      </c>
      <c r="AD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T37">
        <v>54</v>
      </c>
      <c r="AV37">
        <v>0</v>
      </c>
      <c r="AW37">
        <v>2</v>
      </c>
      <c r="AX37">
        <v>12715406</v>
      </c>
      <c r="AY37">
        <v>1</v>
      </c>
      <c r="AZ37">
        <v>0</v>
      </c>
      <c r="BA37">
        <v>36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B37">
        <v>0</v>
      </c>
    </row>
    <row r="38" spans="1:80" ht="12.75">
      <c r="A38">
        <f>ROW(Source!A26)</f>
        <v>26</v>
      </c>
      <c r="B38">
        <v>12715433</v>
      </c>
      <c r="C38">
        <v>12715394</v>
      </c>
      <c r="D38">
        <v>0</v>
      </c>
      <c r="E38">
        <v>0</v>
      </c>
      <c r="F38">
        <v>1</v>
      </c>
      <c r="G38">
        <v>7157832</v>
      </c>
      <c r="H38">
        <v>3</v>
      </c>
      <c r="I38" t="s">
        <v>22</v>
      </c>
      <c r="K38" t="s">
        <v>23</v>
      </c>
      <c r="L38">
        <v>1327</v>
      </c>
      <c r="N38">
        <v>1005</v>
      </c>
      <c r="O38" t="s">
        <v>24</v>
      </c>
      <c r="P38" t="s">
        <v>24</v>
      </c>
      <c r="Q38">
        <v>1</v>
      </c>
      <c r="Y38">
        <v>54</v>
      </c>
      <c r="AA38">
        <v>1800</v>
      </c>
      <c r="AB38">
        <v>0</v>
      </c>
      <c r="AC38">
        <v>0</v>
      </c>
      <c r="AD38">
        <v>0</v>
      </c>
      <c r="AN38">
        <v>0</v>
      </c>
      <c r="AO38">
        <v>0</v>
      </c>
      <c r="AP38">
        <v>1</v>
      </c>
      <c r="AQ38">
        <v>0</v>
      </c>
      <c r="AR38">
        <v>0</v>
      </c>
      <c r="AT38">
        <v>54</v>
      </c>
      <c r="AV38">
        <v>0</v>
      </c>
      <c r="AW38">
        <v>1</v>
      </c>
      <c r="AX38">
        <v>-1</v>
      </c>
      <c r="AY38">
        <v>0</v>
      </c>
      <c r="AZ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B38">
        <v>0</v>
      </c>
    </row>
    <row r="39" spans="1:80" ht="12.75">
      <c r="A39">
        <f>ROW(Source!A28)</f>
        <v>28</v>
      </c>
      <c r="B39">
        <v>12715435</v>
      </c>
      <c r="C39">
        <v>12715434</v>
      </c>
      <c r="D39">
        <v>7157835</v>
      </c>
      <c r="E39">
        <v>7157832</v>
      </c>
      <c r="F39">
        <v>1</v>
      </c>
      <c r="G39">
        <v>7157832</v>
      </c>
      <c r="H39">
        <v>1</v>
      </c>
      <c r="I39" t="s">
        <v>68</v>
      </c>
      <c r="K39" t="s">
        <v>69</v>
      </c>
      <c r="L39">
        <v>1191</v>
      </c>
      <c r="N39">
        <v>1013</v>
      </c>
      <c r="O39" t="s">
        <v>70</v>
      </c>
      <c r="P39" t="s">
        <v>70</v>
      </c>
      <c r="Q39">
        <v>1</v>
      </c>
      <c r="Y39">
        <v>544.7665</v>
      </c>
      <c r="AA39">
        <v>0</v>
      </c>
      <c r="AB39">
        <v>0</v>
      </c>
      <c r="AC39">
        <v>0</v>
      </c>
      <c r="AD39">
        <v>0</v>
      </c>
      <c r="AN39">
        <v>0</v>
      </c>
      <c r="AO39">
        <v>1</v>
      </c>
      <c r="AP39">
        <v>1</v>
      </c>
      <c r="AQ39">
        <v>0</v>
      </c>
      <c r="AR39">
        <v>0</v>
      </c>
      <c r="AT39">
        <v>473.71</v>
      </c>
      <c r="AU39" t="s">
        <v>17</v>
      </c>
      <c r="AV39">
        <v>1</v>
      </c>
      <c r="AW39">
        <v>2</v>
      </c>
      <c r="AX39">
        <v>12715435</v>
      </c>
      <c r="AY39">
        <v>1</v>
      </c>
      <c r="AZ39">
        <v>0</v>
      </c>
      <c r="BA39">
        <v>37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B39">
        <v>0</v>
      </c>
    </row>
    <row r="40" spans="1:80" ht="12.75">
      <c r="A40">
        <f>ROW(Source!A28)</f>
        <v>28</v>
      </c>
      <c r="B40">
        <v>12715436</v>
      </c>
      <c r="C40">
        <v>12715434</v>
      </c>
      <c r="D40">
        <v>7231449</v>
      </c>
      <c r="E40">
        <v>1</v>
      </c>
      <c r="F40">
        <v>1</v>
      </c>
      <c r="G40">
        <v>7157832</v>
      </c>
      <c r="H40">
        <v>2</v>
      </c>
      <c r="I40" t="s">
        <v>168</v>
      </c>
      <c r="J40" t="s">
        <v>169</v>
      </c>
      <c r="K40" t="s">
        <v>170</v>
      </c>
      <c r="L40">
        <v>1368</v>
      </c>
      <c r="N40">
        <v>1011</v>
      </c>
      <c r="O40" t="s">
        <v>74</v>
      </c>
      <c r="P40" t="s">
        <v>74</v>
      </c>
      <c r="Q40">
        <v>1</v>
      </c>
      <c r="Y40">
        <v>27.599999999999998</v>
      </c>
      <c r="AA40">
        <v>0</v>
      </c>
      <c r="AB40">
        <v>1.59</v>
      </c>
      <c r="AC40">
        <v>0.09</v>
      </c>
      <c r="AD40">
        <v>0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24</v>
      </c>
      <c r="AU40" t="s">
        <v>17</v>
      </c>
      <c r="AV40">
        <v>0</v>
      </c>
      <c r="AW40">
        <v>2</v>
      </c>
      <c r="AX40">
        <v>12715436</v>
      </c>
      <c r="AY40">
        <v>1</v>
      </c>
      <c r="AZ40">
        <v>0</v>
      </c>
      <c r="BA40">
        <v>38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B40">
        <v>0</v>
      </c>
    </row>
    <row r="41" spans="1:80" ht="12.75">
      <c r="A41">
        <f>ROW(Source!A28)</f>
        <v>28</v>
      </c>
      <c r="B41">
        <v>12715437</v>
      </c>
      <c r="C41">
        <v>12715434</v>
      </c>
      <c r="D41">
        <v>7231465</v>
      </c>
      <c r="E41">
        <v>1</v>
      </c>
      <c r="F41">
        <v>1</v>
      </c>
      <c r="G41">
        <v>7157832</v>
      </c>
      <c r="H41">
        <v>2</v>
      </c>
      <c r="I41" t="s">
        <v>139</v>
      </c>
      <c r="J41" t="s">
        <v>140</v>
      </c>
      <c r="K41" t="s">
        <v>141</v>
      </c>
      <c r="L41">
        <v>1368</v>
      </c>
      <c r="N41">
        <v>1011</v>
      </c>
      <c r="O41" t="s">
        <v>74</v>
      </c>
      <c r="P41" t="s">
        <v>74</v>
      </c>
      <c r="Q41">
        <v>1</v>
      </c>
      <c r="Y41">
        <v>78.1655</v>
      </c>
      <c r="AA41">
        <v>0</v>
      </c>
      <c r="AB41">
        <v>0.81</v>
      </c>
      <c r="AC41">
        <v>0.03</v>
      </c>
      <c r="AD41">
        <v>0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67.97</v>
      </c>
      <c r="AU41" t="s">
        <v>17</v>
      </c>
      <c r="AV41">
        <v>0</v>
      </c>
      <c r="AW41">
        <v>2</v>
      </c>
      <c r="AX41">
        <v>12715437</v>
      </c>
      <c r="AY41">
        <v>1</v>
      </c>
      <c r="AZ41">
        <v>0</v>
      </c>
      <c r="BA41">
        <v>39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B41">
        <v>0</v>
      </c>
    </row>
    <row r="42" spans="1:80" ht="12.75">
      <c r="A42">
        <f>ROW(Source!A28)</f>
        <v>28</v>
      </c>
      <c r="B42">
        <v>12715438</v>
      </c>
      <c r="C42">
        <v>12715434</v>
      </c>
      <c r="D42">
        <v>7231491</v>
      </c>
      <c r="E42">
        <v>1</v>
      </c>
      <c r="F42">
        <v>1</v>
      </c>
      <c r="G42">
        <v>7157832</v>
      </c>
      <c r="H42">
        <v>2</v>
      </c>
      <c r="I42" t="s">
        <v>75</v>
      </c>
      <c r="J42" t="s">
        <v>76</v>
      </c>
      <c r="K42" t="s">
        <v>77</v>
      </c>
      <c r="L42">
        <v>1368</v>
      </c>
      <c r="N42">
        <v>1011</v>
      </c>
      <c r="O42" t="s">
        <v>74</v>
      </c>
      <c r="P42" t="s">
        <v>74</v>
      </c>
      <c r="Q42">
        <v>1</v>
      </c>
      <c r="Y42">
        <v>65.205</v>
      </c>
      <c r="AA42">
        <v>0</v>
      </c>
      <c r="AB42">
        <v>0.64</v>
      </c>
      <c r="AC42">
        <v>0.04</v>
      </c>
      <c r="AD42">
        <v>0</v>
      </c>
      <c r="AN42">
        <v>0</v>
      </c>
      <c r="AO42">
        <v>1</v>
      </c>
      <c r="AP42">
        <v>1</v>
      </c>
      <c r="AQ42">
        <v>0</v>
      </c>
      <c r="AR42">
        <v>0</v>
      </c>
      <c r="AT42">
        <v>56.7</v>
      </c>
      <c r="AU42" t="s">
        <v>17</v>
      </c>
      <c r="AV42">
        <v>0</v>
      </c>
      <c r="AW42">
        <v>2</v>
      </c>
      <c r="AX42">
        <v>12715438</v>
      </c>
      <c r="AY42">
        <v>1</v>
      </c>
      <c r="AZ42">
        <v>0</v>
      </c>
      <c r="BA42">
        <v>40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B42">
        <v>0</v>
      </c>
    </row>
    <row r="43" spans="1:80" ht="12.75">
      <c r="A43">
        <f>ROW(Source!A28)</f>
        <v>28</v>
      </c>
      <c r="B43">
        <v>12715439</v>
      </c>
      <c r="C43">
        <v>12715434</v>
      </c>
      <c r="D43">
        <v>7231445</v>
      </c>
      <c r="E43">
        <v>1</v>
      </c>
      <c r="F43">
        <v>1</v>
      </c>
      <c r="G43">
        <v>7157832</v>
      </c>
      <c r="H43">
        <v>2</v>
      </c>
      <c r="I43" t="s">
        <v>78</v>
      </c>
      <c r="J43" t="s">
        <v>79</v>
      </c>
      <c r="K43" t="s">
        <v>80</v>
      </c>
      <c r="L43">
        <v>1368</v>
      </c>
      <c r="N43">
        <v>1011</v>
      </c>
      <c r="O43" t="s">
        <v>74</v>
      </c>
      <c r="P43" t="s">
        <v>74</v>
      </c>
      <c r="Q43">
        <v>1</v>
      </c>
      <c r="Y43">
        <v>38.294999999999995</v>
      </c>
      <c r="AA43">
        <v>0</v>
      </c>
      <c r="AB43">
        <v>2.36</v>
      </c>
      <c r="AC43">
        <v>0.1</v>
      </c>
      <c r="AD43">
        <v>0</v>
      </c>
      <c r="AN43">
        <v>0</v>
      </c>
      <c r="AO43">
        <v>1</v>
      </c>
      <c r="AP43">
        <v>1</v>
      </c>
      <c r="AQ43">
        <v>0</v>
      </c>
      <c r="AR43">
        <v>0</v>
      </c>
      <c r="AT43">
        <v>33.3</v>
      </c>
      <c r="AU43" t="s">
        <v>17</v>
      </c>
      <c r="AV43">
        <v>0</v>
      </c>
      <c r="AW43">
        <v>2</v>
      </c>
      <c r="AX43">
        <v>12715439</v>
      </c>
      <c r="AY43">
        <v>1</v>
      </c>
      <c r="AZ43">
        <v>0</v>
      </c>
      <c r="BA43">
        <v>41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B43">
        <v>0</v>
      </c>
    </row>
    <row r="44" spans="1:80" ht="12.75">
      <c r="A44">
        <f>ROW(Source!A28)</f>
        <v>28</v>
      </c>
      <c r="B44">
        <v>12715456</v>
      </c>
      <c r="C44">
        <v>12715434</v>
      </c>
      <c r="D44">
        <v>7182707</v>
      </c>
      <c r="E44">
        <v>7157832</v>
      </c>
      <c r="F44">
        <v>1</v>
      </c>
      <c r="G44">
        <v>7157832</v>
      </c>
      <c r="H44">
        <v>3</v>
      </c>
      <c r="I44" t="s">
        <v>142</v>
      </c>
      <c r="K44" t="s">
        <v>143</v>
      </c>
      <c r="L44">
        <v>1344</v>
      </c>
      <c r="N44">
        <v>1008</v>
      </c>
      <c r="O44" t="s">
        <v>144</v>
      </c>
      <c r="P44" t="s">
        <v>144</v>
      </c>
      <c r="Q44">
        <v>1</v>
      </c>
      <c r="Y44">
        <v>701</v>
      </c>
      <c r="AA44">
        <v>1</v>
      </c>
      <c r="AB44">
        <v>0</v>
      </c>
      <c r="AC44">
        <v>0</v>
      </c>
      <c r="AD44">
        <v>0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701</v>
      </c>
      <c r="AV44">
        <v>0</v>
      </c>
      <c r="AW44">
        <v>2</v>
      </c>
      <c r="AX44">
        <v>12715456</v>
      </c>
      <c r="AY44">
        <v>1</v>
      </c>
      <c r="AZ44">
        <v>0</v>
      </c>
      <c r="BA44">
        <v>42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B44">
        <v>0</v>
      </c>
    </row>
    <row r="45" spans="1:80" ht="12.75">
      <c r="A45">
        <f>ROW(Source!A28)</f>
        <v>28</v>
      </c>
      <c r="B45">
        <v>12715440</v>
      </c>
      <c r="C45">
        <v>12715434</v>
      </c>
      <c r="D45">
        <v>7233771</v>
      </c>
      <c r="E45">
        <v>1</v>
      </c>
      <c r="F45">
        <v>1</v>
      </c>
      <c r="G45">
        <v>7157832</v>
      </c>
      <c r="H45">
        <v>3</v>
      </c>
      <c r="I45" t="s">
        <v>171</v>
      </c>
      <c r="J45" t="s">
        <v>172</v>
      </c>
      <c r="K45" t="s">
        <v>173</v>
      </c>
      <c r="L45">
        <v>1301</v>
      </c>
      <c r="N45">
        <v>1003</v>
      </c>
      <c r="O45" t="s">
        <v>122</v>
      </c>
      <c r="P45" t="s">
        <v>122</v>
      </c>
      <c r="Q45">
        <v>1</v>
      </c>
      <c r="Y45">
        <v>139</v>
      </c>
      <c r="AA45">
        <v>10.53</v>
      </c>
      <c r="AB45">
        <v>0</v>
      </c>
      <c r="AC45">
        <v>0</v>
      </c>
      <c r="AD45">
        <v>0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139</v>
      </c>
      <c r="AV45">
        <v>0</v>
      </c>
      <c r="AW45">
        <v>2</v>
      </c>
      <c r="AX45">
        <v>12715440</v>
      </c>
      <c r="AY45">
        <v>1</v>
      </c>
      <c r="AZ45">
        <v>0</v>
      </c>
      <c r="BA45">
        <v>43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B45">
        <v>0</v>
      </c>
    </row>
    <row r="46" spans="1:80" ht="12.75">
      <c r="A46">
        <f>ROW(Source!A28)</f>
        <v>28</v>
      </c>
      <c r="B46">
        <v>12715441</v>
      </c>
      <c r="C46">
        <v>12715434</v>
      </c>
      <c r="D46">
        <v>7233772</v>
      </c>
      <c r="E46">
        <v>1</v>
      </c>
      <c r="F46">
        <v>1</v>
      </c>
      <c r="G46">
        <v>7157832</v>
      </c>
      <c r="H46">
        <v>3</v>
      </c>
      <c r="I46" t="s">
        <v>174</v>
      </c>
      <c r="J46" t="s">
        <v>175</v>
      </c>
      <c r="K46" t="s">
        <v>176</v>
      </c>
      <c r="L46">
        <v>1301</v>
      </c>
      <c r="N46">
        <v>1003</v>
      </c>
      <c r="O46" t="s">
        <v>122</v>
      </c>
      <c r="P46" t="s">
        <v>122</v>
      </c>
      <c r="Q46">
        <v>1</v>
      </c>
      <c r="Y46">
        <v>101</v>
      </c>
      <c r="AA46">
        <v>11.74</v>
      </c>
      <c r="AB46">
        <v>0</v>
      </c>
      <c r="AC46">
        <v>0</v>
      </c>
      <c r="AD46">
        <v>0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101</v>
      </c>
      <c r="AV46">
        <v>0</v>
      </c>
      <c r="AW46">
        <v>2</v>
      </c>
      <c r="AX46">
        <v>12715441</v>
      </c>
      <c r="AY46">
        <v>1</v>
      </c>
      <c r="AZ46">
        <v>0</v>
      </c>
      <c r="BA46">
        <v>44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B46">
        <v>0</v>
      </c>
    </row>
    <row r="47" spans="1:80" ht="12.75">
      <c r="A47">
        <f>ROW(Source!A28)</f>
        <v>28</v>
      </c>
      <c r="B47">
        <v>12715442</v>
      </c>
      <c r="C47">
        <v>12715434</v>
      </c>
      <c r="D47">
        <v>7233773</v>
      </c>
      <c r="E47">
        <v>1</v>
      </c>
      <c r="F47">
        <v>1</v>
      </c>
      <c r="G47">
        <v>7157832</v>
      </c>
      <c r="H47">
        <v>3</v>
      </c>
      <c r="I47" t="s">
        <v>90</v>
      </c>
      <c r="J47" t="s">
        <v>91</v>
      </c>
      <c r="K47" t="s">
        <v>92</v>
      </c>
      <c r="L47">
        <v>1048</v>
      </c>
      <c r="N47">
        <v>1013</v>
      </c>
      <c r="O47" t="s">
        <v>93</v>
      </c>
      <c r="P47" t="s">
        <v>93</v>
      </c>
      <c r="Q47">
        <v>1</v>
      </c>
      <c r="Y47">
        <v>3.6</v>
      </c>
      <c r="AA47">
        <v>99.47</v>
      </c>
      <c r="AB47">
        <v>0</v>
      </c>
      <c r="AC47">
        <v>0</v>
      </c>
      <c r="AD47">
        <v>0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3.6</v>
      </c>
      <c r="AV47">
        <v>0</v>
      </c>
      <c r="AW47">
        <v>2</v>
      </c>
      <c r="AX47">
        <v>12715442</v>
      </c>
      <c r="AY47">
        <v>1</v>
      </c>
      <c r="AZ47">
        <v>0</v>
      </c>
      <c r="BA47">
        <v>45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B47">
        <v>0</v>
      </c>
    </row>
    <row r="48" spans="1:80" ht="12.75">
      <c r="A48">
        <f>ROW(Source!A28)</f>
        <v>28</v>
      </c>
      <c r="B48">
        <v>12715443</v>
      </c>
      <c r="C48">
        <v>12715434</v>
      </c>
      <c r="D48">
        <v>7233774</v>
      </c>
      <c r="E48">
        <v>1</v>
      </c>
      <c r="F48">
        <v>1</v>
      </c>
      <c r="G48">
        <v>7157832</v>
      </c>
      <c r="H48">
        <v>3</v>
      </c>
      <c r="I48" t="s">
        <v>145</v>
      </c>
      <c r="J48" t="s">
        <v>146</v>
      </c>
      <c r="K48" t="s">
        <v>147</v>
      </c>
      <c r="L48">
        <v>1355</v>
      </c>
      <c r="N48">
        <v>1010</v>
      </c>
      <c r="O48" t="s">
        <v>97</v>
      </c>
      <c r="P48" t="s">
        <v>97</v>
      </c>
      <c r="Q48">
        <v>100</v>
      </c>
      <c r="Y48">
        <v>9.5</v>
      </c>
      <c r="AA48">
        <v>64.26</v>
      </c>
      <c r="AB48">
        <v>0</v>
      </c>
      <c r="AC48">
        <v>0</v>
      </c>
      <c r="AD48">
        <v>0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9.5</v>
      </c>
      <c r="AV48">
        <v>0</v>
      </c>
      <c r="AW48">
        <v>2</v>
      </c>
      <c r="AX48">
        <v>12715443</v>
      </c>
      <c r="AY48">
        <v>1</v>
      </c>
      <c r="AZ48">
        <v>0</v>
      </c>
      <c r="BA48">
        <v>46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B48">
        <v>0</v>
      </c>
    </row>
    <row r="49" spans="1:80" ht="12.75">
      <c r="A49">
        <f>ROW(Source!A28)</f>
        <v>28</v>
      </c>
      <c r="B49">
        <v>12715444</v>
      </c>
      <c r="C49">
        <v>12715434</v>
      </c>
      <c r="D49">
        <v>7233775</v>
      </c>
      <c r="E49">
        <v>1</v>
      </c>
      <c r="F49">
        <v>1</v>
      </c>
      <c r="G49">
        <v>7157832</v>
      </c>
      <c r="H49">
        <v>3</v>
      </c>
      <c r="I49" t="s">
        <v>148</v>
      </c>
      <c r="J49" t="s">
        <v>149</v>
      </c>
      <c r="K49" t="s">
        <v>150</v>
      </c>
      <c r="L49">
        <v>1355</v>
      </c>
      <c r="N49">
        <v>1010</v>
      </c>
      <c r="O49" t="s">
        <v>97</v>
      </c>
      <c r="P49" t="s">
        <v>97</v>
      </c>
      <c r="Q49">
        <v>100</v>
      </c>
      <c r="Y49">
        <v>3.02</v>
      </c>
      <c r="AA49">
        <v>89.96</v>
      </c>
      <c r="AB49">
        <v>0</v>
      </c>
      <c r="AC49">
        <v>0</v>
      </c>
      <c r="AD49">
        <v>0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3.02</v>
      </c>
      <c r="AV49">
        <v>0</v>
      </c>
      <c r="AW49">
        <v>2</v>
      </c>
      <c r="AX49">
        <v>12715444</v>
      </c>
      <c r="AY49">
        <v>1</v>
      </c>
      <c r="AZ49">
        <v>0</v>
      </c>
      <c r="BA49">
        <v>47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B49">
        <v>0</v>
      </c>
    </row>
    <row r="50" spans="1:80" ht="12.75">
      <c r="A50">
        <f>ROW(Source!A28)</f>
        <v>28</v>
      </c>
      <c r="B50">
        <v>12715445</v>
      </c>
      <c r="C50">
        <v>12715434</v>
      </c>
      <c r="D50">
        <v>7233776</v>
      </c>
      <c r="E50">
        <v>1</v>
      </c>
      <c r="F50">
        <v>1</v>
      </c>
      <c r="G50">
        <v>7157832</v>
      </c>
      <c r="H50">
        <v>3</v>
      </c>
      <c r="I50" t="s">
        <v>151</v>
      </c>
      <c r="J50" t="s">
        <v>152</v>
      </c>
      <c r="K50" t="s">
        <v>153</v>
      </c>
      <c r="L50">
        <v>1355</v>
      </c>
      <c r="N50">
        <v>1010</v>
      </c>
      <c r="O50" t="s">
        <v>97</v>
      </c>
      <c r="P50" t="s">
        <v>97</v>
      </c>
      <c r="Q50">
        <v>100</v>
      </c>
      <c r="Y50">
        <v>9.5</v>
      </c>
      <c r="AA50">
        <v>247.4</v>
      </c>
      <c r="AB50">
        <v>0</v>
      </c>
      <c r="AC50">
        <v>0</v>
      </c>
      <c r="AD50">
        <v>0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9.5</v>
      </c>
      <c r="AV50">
        <v>0</v>
      </c>
      <c r="AW50">
        <v>2</v>
      </c>
      <c r="AX50">
        <v>12715445</v>
      </c>
      <c r="AY50">
        <v>1</v>
      </c>
      <c r="AZ50">
        <v>0</v>
      </c>
      <c r="BA50">
        <v>48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B50">
        <v>0</v>
      </c>
    </row>
    <row r="51" spans="1:80" ht="12.75">
      <c r="A51">
        <f>ROW(Source!A28)</f>
        <v>28</v>
      </c>
      <c r="B51">
        <v>12715446</v>
      </c>
      <c r="C51">
        <v>12715434</v>
      </c>
      <c r="D51">
        <v>7238016</v>
      </c>
      <c r="E51">
        <v>1</v>
      </c>
      <c r="F51">
        <v>1</v>
      </c>
      <c r="G51">
        <v>7157832</v>
      </c>
      <c r="H51">
        <v>3</v>
      </c>
      <c r="I51" t="s">
        <v>177</v>
      </c>
      <c r="J51" t="s">
        <v>178</v>
      </c>
      <c r="K51" t="s">
        <v>179</v>
      </c>
      <c r="L51">
        <v>1301</v>
      </c>
      <c r="N51">
        <v>1003</v>
      </c>
      <c r="O51" t="s">
        <v>122</v>
      </c>
      <c r="P51" t="s">
        <v>122</v>
      </c>
      <c r="Q51">
        <v>1</v>
      </c>
      <c r="Y51">
        <v>46</v>
      </c>
      <c r="AA51">
        <v>47.31</v>
      </c>
      <c r="AB51">
        <v>0</v>
      </c>
      <c r="AC51">
        <v>0</v>
      </c>
      <c r="AD51">
        <v>0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46</v>
      </c>
      <c r="AV51">
        <v>0</v>
      </c>
      <c r="AW51">
        <v>2</v>
      </c>
      <c r="AX51">
        <v>12715446</v>
      </c>
      <c r="AY51">
        <v>1</v>
      </c>
      <c r="AZ51">
        <v>0</v>
      </c>
      <c r="BA51">
        <v>49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B51">
        <v>0</v>
      </c>
    </row>
    <row r="52" spans="1:80" ht="12.75">
      <c r="A52">
        <f>ROW(Source!A28)</f>
        <v>28</v>
      </c>
      <c r="B52">
        <v>12715447</v>
      </c>
      <c r="C52">
        <v>12715434</v>
      </c>
      <c r="D52">
        <v>7238017</v>
      </c>
      <c r="E52">
        <v>1</v>
      </c>
      <c r="F52">
        <v>1</v>
      </c>
      <c r="G52">
        <v>7157832</v>
      </c>
      <c r="H52">
        <v>3</v>
      </c>
      <c r="I52" t="s">
        <v>180</v>
      </c>
      <c r="J52" t="s">
        <v>181</v>
      </c>
      <c r="K52" t="s">
        <v>182</v>
      </c>
      <c r="L52">
        <v>1301</v>
      </c>
      <c r="N52">
        <v>1003</v>
      </c>
      <c r="O52" t="s">
        <v>122</v>
      </c>
      <c r="P52" t="s">
        <v>122</v>
      </c>
      <c r="Q52">
        <v>1</v>
      </c>
      <c r="Y52">
        <v>194</v>
      </c>
      <c r="AA52">
        <v>26.68</v>
      </c>
      <c r="AB52">
        <v>0</v>
      </c>
      <c r="AC52">
        <v>0</v>
      </c>
      <c r="AD52">
        <v>0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194</v>
      </c>
      <c r="AV52">
        <v>0</v>
      </c>
      <c r="AW52">
        <v>2</v>
      </c>
      <c r="AX52">
        <v>12715447</v>
      </c>
      <c r="AY52">
        <v>1</v>
      </c>
      <c r="AZ52">
        <v>0</v>
      </c>
      <c r="BA52">
        <v>50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B52">
        <v>0</v>
      </c>
    </row>
    <row r="53" spans="1:80" ht="12.75">
      <c r="A53">
        <f>ROW(Source!A28)</f>
        <v>28</v>
      </c>
      <c r="B53">
        <v>12715448</v>
      </c>
      <c r="C53">
        <v>12715434</v>
      </c>
      <c r="D53">
        <v>7238018</v>
      </c>
      <c r="E53">
        <v>1</v>
      </c>
      <c r="F53">
        <v>1</v>
      </c>
      <c r="G53">
        <v>7157832</v>
      </c>
      <c r="H53">
        <v>3</v>
      </c>
      <c r="I53" t="s">
        <v>183</v>
      </c>
      <c r="J53" t="s">
        <v>184</v>
      </c>
      <c r="K53" t="s">
        <v>185</v>
      </c>
      <c r="L53">
        <v>1301</v>
      </c>
      <c r="N53">
        <v>1003</v>
      </c>
      <c r="O53" t="s">
        <v>122</v>
      </c>
      <c r="P53" t="s">
        <v>122</v>
      </c>
      <c r="Q53">
        <v>1</v>
      </c>
      <c r="Y53">
        <v>150</v>
      </c>
      <c r="AA53">
        <v>26.68</v>
      </c>
      <c r="AB53">
        <v>0</v>
      </c>
      <c r="AC53">
        <v>0</v>
      </c>
      <c r="AD53">
        <v>0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150</v>
      </c>
      <c r="AV53">
        <v>0</v>
      </c>
      <c r="AW53">
        <v>2</v>
      </c>
      <c r="AX53">
        <v>12715448</v>
      </c>
      <c r="AY53">
        <v>1</v>
      </c>
      <c r="AZ53">
        <v>0</v>
      </c>
      <c r="BA53">
        <v>51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B53">
        <v>0</v>
      </c>
    </row>
    <row r="54" spans="1:80" ht="12.75">
      <c r="A54">
        <f>ROW(Source!A28)</f>
        <v>28</v>
      </c>
      <c r="B54">
        <v>12715449</v>
      </c>
      <c r="C54">
        <v>12715434</v>
      </c>
      <c r="D54">
        <v>7238020</v>
      </c>
      <c r="E54">
        <v>1</v>
      </c>
      <c r="F54">
        <v>1</v>
      </c>
      <c r="G54">
        <v>7157832</v>
      </c>
      <c r="H54">
        <v>3</v>
      </c>
      <c r="I54" t="s">
        <v>186</v>
      </c>
      <c r="J54" t="s">
        <v>187</v>
      </c>
      <c r="K54" t="s">
        <v>188</v>
      </c>
      <c r="L54">
        <v>1301</v>
      </c>
      <c r="N54">
        <v>1003</v>
      </c>
      <c r="O54" t="s">
        <v>122</v>
      </c>
      <c r="P54" t="s">
        <v>122</v>
      </c>
      <c r="Q54">
        <v>1</v>
      </c>
      <c r="Y54">
        <v>55</v>
      </c>
      <c r="AA54">
        <v>45.8</v>
      </c>
      <c r="AB54">
        <v>0</v>
      </c>
      <c r="AC54">
        <v>0</v>
      </c>
      <c r="AD54">
        <v>0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55</v>
      </c>
      <c r="AV54">
        <v>0</v>
      </c>
      <c r="AW54">
        <v>2</v>
      </c>
      <c r="AX54">
        <v>12715449</v>
      </c>
      <c r="AY54">
        <v>1</v>
      </c>
      <c r="AZ54">
        <v>0</v>
      </c>
      <c r="BA54">
        <v>52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B54">
        <v>0</v>
      </c>
    </row>
    <row r="55" spans="1:80" ht="12.75">
      <c r="A55">
        <f>ROW(Source!A28)</f>
        <v>28</v>
      </c>
      <c r="B55">
        <v>12715450</v>
      </c>
      <c r="C55">
        <v>12715434</v>
      </c>
      <c r="D55">
        <v>7238021</v>
      </c>
      <c r="E55">
        <v>1</v>
      </c>
      <c r="F55">
        <v>1</v>
      </c>
      <c r="G55">
        <v>7157832</v>
      </c>
      <c r="H55">
        <v>3</v>
      </c>
      <c r="I55" t="s">
        <v>189</v>
      </c>
      <c r="J55" t="s">
        <v>190</v>
      </c>
      <c r="K55" t="s">
        <v>191</v>
      </c>
      <c r="L55">
        <v>1301</v>
      </c>
      <c r="N55">
        <v>1003</v>
      </c>
      <c r="O55" t="s">
        <v>122</v>
      </c>
      <c r="P55" t="s">
        <v>122</v>
      </c>
      <c r="Q55">
        <v>1</v>
      </c>
      <c r="Y55">
        <v>67</v>
      </c>
      <c r="AA55">
        <v>38.13</v>
      </c>
      <c r="AB55">
        <v>0</v>
      </c>
      <c r="AC55">
        <v>0</v>
      </c>
      <c r="AD55">
        <v>0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67</v>
      </c>
      <c r="AV55">
        <v>0</v>
      </c>
      <c r="AW55">
        <v>2</v>
      </c>
      <c r="AX55">
        <v>12715450</v>
      </c>
      <c r="AY55">
        <v>1</v>
      </c>
      <c r="AZ55">
        <v>0</v>
      </c>
      <c r="BA55">
        <v>53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B55">
        <v>0</v>
      </c>
    </row>
    <row r="56" spans="1:80" ht="12.75">
      <c r="A56">
        <f>ROW(Source!A28)</f>
        <v>28</v>
      </c>
      <c r="B56">
        <v>12715451</v>
      </c>
      <c r="C56">
        <v>12715434</v>
      </c>
      <c r="D56">
        <v>7238022</v>
      </c>
      <c r="E56">
        <v>1</v>
      </c>
      <c r="F56">
        <v>1</v>
      </c>
      <c r="G56">
        <v>7157832</v>
      </c>
      <c r="H56">
        <v>3</v>
      </c>
      <c r="I56" t="s">
        <v>192</v>
      </c>
      <c r="J56" t="s">
        <v>193</v>
      </c>
      <c r="K56" t="s">
        <v>194</v>
      </c>
      <c r="L56">
        <v>1301</v>
      </c>
      <c r="N56">
        <v>1003</v>
      </c>
      <c r="O56" t="s">
        <v>122</v>
      </c>
      <c r="P56" t="s">
        <v>122</v>
      </c>
      <c r="Q56">
        <v>1</v>
      </c>
      <c r="Y56">
        <v>102</v>
      </c>
      <c r="AA56">
        <v>38.13</v>
      </c>
      <c r="AB56">
        <v>0</v>
      </c>
      <c r="AC56">
        <v>0</v>
      </c>
      <c r="AD56">
        <v>0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102</v>
      </c>
      <c r="AV56">
        <v>0</v>
      </c>
      <c r="AW56">
        <v>2</v>
      </c>
      <c r="AX56">
        <v>12715451</v>
      </c>
      <c r="AY56">
        <v>1</v>
      </c>
      <c r="AZ56">
        <v>0</v>
      </c>
      <c r="BA56">
        <v>54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B56">
        <v>0</v>
      </c>
    </row>
    <row r="57" spans="1:80" ht="12.75">
      <c r="A57">
        <f>ROW(Source!A28)</f>
        <v>28</v>
      </c>
      <c r="B57">
        <v>12715452</v>
      </c>
      <c r="C57">
        <v>12715434</v>
      </c>
      <c r="D57">
        <v>7238390</v>
      </c>
      <c r="E57">
        <v>1</v>
      </c>
      <c r="F57">
        <v>1</v>
      </c>
      <c r="G57">
        <v>7157832</v>
      </c>
      <c r="H57">
        <v>3</v>
      </c>
      <c r="I57" t="s">
        <v>195</v>
      </c>
      <c r="J57" t="s">
        <v>196</v>
      </c>
      <c r="K57" t="s">
        <v>197</v>
      </c>
      <c r="L57">
        <v>1355</v>
      </c>
      <c r="N57">
        <v>1010</v>
      </c>
      <c r="O57" t="s">
        <v>97</v>
      </c>
      <c r="P57" t="s">
        <v>97</v>
      </c>
      <c r="Q57">
        <v>100</v>
      </c>
      <c r="Y57">
        <v>3.6</v>
      </c>
      <c r="AA57">
        <v>1663.23</v>
      </c>
      <c r="AB57">
        <v>0</v>
      </c>
      <c r="AC57">
        <v>0</v>
      </c>
      <c r="AD57">
        <v>0</v>
      </c>
      <c r="AN57">
        <v>0</v>
      </c>
      <c r="AO57">
        <v>1</v>
      </c>
      <c r="AP57">
        <v>0</v>
      </c>
      <c r="AQ57">
        <v>0</v>
      </c>
      <c r="AR57">
        <v>0</v>
      </c>
      <c r="AT57">
        <v>3.6</v>
      </c>
      <c r="AV57">
        <v>0</v>
      </c>
      <c r="AW57">
        <v>2</v>
      </c>
      <c r="AX57">
        <v>12715452</v>
      </c>
      <c r="AY57">
        <v>1</v>
      </c>
      <c r="AZ57">
        <v>0</v>
      </c>
      <c r="BA57">
        <v>55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B57">
        <v>0</v>
      </c>
    </row>
    <row r="58" spans="1:80" ht="12.75">
      <c r="A58">
        <f>ROW(Source!A28)</f>
        <v>28</v>
      </c>
      <c r="B58">
        <v>12715453</v>
      </c>
      <c r="C58">
        <v>12715434</v>
      </c>
      <c r="D58">
        <v>7238391</v>
      </c>
      <c r="E58">
        <v>1</v>
      </c>
      <c r="F58">
        <v>1</v>
      </c>
      <c r="G58">
        <v>7157832</v>
      </c>
      <c r="H58">
        <v>3</v>
      </c>
      <c r="I58" t="s">
        <v>198</v>
      </c>
      <c r="J58" t="s">
        <v>199</v>
      </c>
      <c r="K58" t="s">
        <v>200</v>
      </c>
      <c r="L58">
        <v>1355</v>
      </c>
      <c r="N58">
        <v>1010</v>
      </c>
      <c r="O58" t="s">
        <v>97</v>
      </c>
      <c r="P58" t="s">
        <v>97</v>
      </c>
      <c r="Q58">
        <v>100</v>
      </c>
      <c r="Y58">
        <v>3.6</v>
      </c>
      <c r="AA58">
        <v>1311.27</v>
      </c>
      <c r="AB58">
        <v>0</v>
      </c>
      <c r="AC58">
        <v>0</v>
      </c>
      <c r="AD58">
        <v>0</v>
      </c>
      <c r="AN58">
        <v>0</v>
      </c>
      <c r="AO58">
        <v>1</v>
      </c>
      <c r="AP58">
        <v>0</v>
      </c>
      <c r="AQ58">
        <v>0</v>
      </c>
      <c r="AR58">
        <v>0</v>
      </c>
      <c r="AT58">
        <v>3.6</v>
      </c>
      <c r="AV58">
        <v>0</v>
      </c>
      <c r="AW58">
        <v>2</v>
      </c>
      <c r="AX58">
        <v>12715453</v>
      </c>
      <c r="AY58">
        <v>1</v>
      </c>
      <c r="AZ58">
        <v>0</v>
      </c>
      <c r="BA58">
        <v>56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B58">
        <v>0</v>
      </c>
    </row>
    <row r="59" spans="1:80" ht="12.75">
      <c r="A59">
        <f>ROW(Source!A28)</f>
        <v>28</v>
      </c>
      <c r="B59">
        <v>12715454</v>
      </c>
      <c r="C59">
        <v>12715434</v>
      </c>
      <c r="D59">
        <v>7238392</v>
      </c>
      <c r="E59">
        <v>1</v>
      </c>
      <c r="F59">
        <v>1</v>
      </c>
      <c r="G59">
        <v>7157832</v>
      </c>
      <c r="H59">
        <v>3</v>
      </c>
      <c r="I59" t="s">
        <v>201</v>
      </c>
      <c r="J59" t="s">
        <v>202</v>
      </c>
      <c r="K59" t="s">
        <v>203</v>
      </c>
      <c r="L59">
        <v>1355</v>
      </c>
      <c r="N59">
        <v>1010</v>
      </c>
      <c r="O59" t="s">
        <v>97</v>
      </c>
      <c r="P59" t="s">
        <v>97</v>
      </c>
      <c r="Q59">
        <v>100</v>
      </c>
      <c r="Y59">
        <v>11.8</v>
      </c>
      <c r="AA59">
        <v>68.54</v>
      </c>
      <c r="AB59">
        <v>0</v>
      </c>
      <c r="AC59">
        <v>0</v>
      </c>
      <c r="AD59">
        <v>0</v>
      </c>
      <c r="AN59">
        <v>0</v>
      </c>
      <c r="AO59">
        <v>1</v>
      </c>
      <c r="AP59">
        <v>0</v>
      </c>
      <c r="AQ59">
        <v>0</v>
      </c>
      <c r="AR59">
        <v>0</v>
      </c>
      <c r="AT59">
        <v>11.8</v>
      </c>
      <c r="AV59">
        <v>0</v>
      </c>
      <c r="AW59">
        <v>2</v>
      </c>
      <c r="AX59">
        <v>12715454</v>
      </c>
      <c r="AY59">
        <v>1</v>
      </c>
      <c r="AZ59">
        <v>0</v>
      </c>
      <c r="BA59">
        <v>57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B59">
        <v>0</v>
      </c>
    </row>
    <row r="60" spans="1:80" ht="12.75">
      <c r="A60">
        <f>ROW(Source!A28)</f>
        <v>28</v>
      </c>
      <c r="B60">
        <v>12715455</v>
      </c>
      <c r="C60">
        <v>12715434</v>
      </c>
      <c r="D60">
        <v>7180025</v>
      </c>
      <c r="E60">
        <v>7157832</v>
      </c>
      <c r="F60">
        <v>1</v>
      </c>
      <c r="G60">
        <v>7157832</v>
      </c>
      <c r="H60">
        <v>3</v>
      </c>
      <c r="I60" t="s">
        <v>166</v>
      </c>
      <c r="K60" t="s">
        <v>167</v>
      </c>
      <c r="L60">
        <v>1327</v>
      </c>
      <c r="N60">
        <v>1005</v>
      </c>
      <c r="O60" t="s">
        <v>24</v>
      </c>
      <c r="P60" t="s">
        <v>24</v>
      </c>
      <c r="Q60">
        <v>1</v>
      </c>
      <c r="Y60">
        <v>115</v>
      </c>
      <c r="AA60">
        <v>0</v>
      </c>
      <c r="AB60">
        <v>0</v>
      </c>
      <c r="AC60">
        <v>0</v>
      </c>
      <c r="AD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T60">
        <v>115</v>
      </c>
      <c r="AV60">
        <v>0</v>
      </c>
      <c r="AW60">
        <v>2</v>
      </c>
      <c r="AX60">
        <v>12715455</v>
      </c>
      <c r="AY60">
        <v>1</v>
      </c>
      <c r="AZ60">
        <v>0</v>
      </c>
      <c r="BA60">
        <v>58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B60">
        <v>0</v>
      </c>
    </row>
    <row r="61" spans="1:80" ht="12.75">
      <c r="A61">
        <f>ROW(Source!A28)</f>
        <v>28</v>
      </c>
      <c r="B61">
        <v>12715459</v>
      </c>
      <c r="C61">
        <v>12715434</v>
      </c>
      <c r="D61">
        <v>0</v>
      </c>
      <c r="E61">
        <v>0</v>
      </c>
      <c r="F61">
        <v>1</v>
      </c>
      <c r="G61">
        <v>7157832</v>
      </c>
      <c r="H61">
        <v>3</v>
      </c>
      <c r="I61" t="s">
        <v>22</v>
      </c>
      <c r="K61" t="s">
        <v>23</v>
      </c>
      <c r="L61">
        <v>1327</v>
      </c>
      <c r="N61">
        <v>1005</v>
      </c>
      <c r="O61" t="s">
        <v>24</v>
      </c>
      <c r="P61" t="s">
        <v>24</v>
      </c>
      <c r="Q61">
        <v>1</v>
      </c>
      <c r="Y61">
        <v>115</v>
      </c>
      <c r="AA61">
        <v>1800</v>
      </c>
      <c r="AB61">
        <v>0</v>
      </c>
      <c r="AC61">
        <v>0</v>
      </c>
      <c r="AD61">
        <v>0</v>
      </c>
      <c r="AN61">
        <v>0</v>
      </c>
      <c r="AO61">
        <v>0</v>
      </c>
      <c r="AP61">
        <v>1</v>
      </c>
      <c r="AQ61">
        <v>0</v>
      </c>
      <c r="AR61">
        <v>0</v>
      </c>
      <c r="AT61">
        <v>115</v>
      </c>
      <c r="AV61">
        <v>0</v>
      </c>
      <c r="AW61">
        <v>1</v>
      </c>
      <c r="AX61">
        <v>-1</v>
      </c>
      <c r="AY61">
        <v>0</v>
      </c>
      <c r="AZ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B61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5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12715354</v>
      </c>
      <c r="C1">
        <v>12715353</v>
      </c>
      <c r="D1">
        <v>7157835</v>
      </c>
      <c r="E1">
        <v>7157832</v>
      </c>
      <c r="F1">
        <v>1</v>
      </c>
      <c r="G1">
        <v>7157832</v>
      </c>
      <c r="H1">
        <v>1</v>
      </c>
      <c r="I1" t="s">
        <v>68</v>
      </c>
      <c r="K1" t="s">
        <v>69</v>
      </c>
      <c r="L1">
        <v>1191</v>
      </c>
      <c r="N1">
        <v>1013</v>
      </c>
      <c r="O1" t="s">
        <v>70</v>
      </c>
      <c r="P1" t="s">
        <v>70</v>
      </c>
      <c r="Q1">
        <v>1</v>
      </c>
      <c r="X1">
        <v>265.64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F1" t="s">
        <v>17</v>
      </c>
      <c r="AG1">
        <v>305.48599999999993</v>
      </c>
      <c r="AH1">
        <v>2</v>
      </c>
      <c r="AI1">
        <v>12715354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ROW(Source!A24)</f>
        <v>24</v>
      </c>
      <c r="B2">
        <v>12715355</v>
      </c>
      <c r="C2">
        <v>12715353</v>
      </c>
      <c r="D2">
        <v>7231421</v>
      </c>
      <c r="E2">
        <v>1</v>
      </c>
      <c r="F2">
        <v>1</v>
      </c>
      <c r="G2">
        <v>7157832</v>
      </c>
      <c r="H2">
        <v>2</v>
      </c>
      <c r="I2" t="s">
        <v>71</v>
      </c>
      <c r="J2" t="s">
        <v>72</v>
      </c>
      <c r="K2" t="s">
        <v>73</v>
      </c>
      <c r="L2">
        <v>1368</v>
      </c>
      <c r="N2">
        <v>1011</v>
      </c>
      <c r="O2" t="s">
        <v>74</v>
      </c>
      <c r="P2" t="s">
        <v>74</v>
      </c>
      <c r="Q2">
        <v>1</v>
      </c>
      <c r="X2">
        <v>2.01</v>
      </c>
      <c r="Y2">
        <v>0</v>
      </c>
      <c r="Z2">
        <v>74.44</v>
      </c>
      <c r="AA2">
        <v>17.59</v>
      </c>
      <c r="AB2">
        <v>0</v>
      </c>
      <c r="AC2">
        <v>0</v>
      </c>
      <c r="AD2">
        <v>1</v>
      </c>
      <c r="AE2">
        <v>0</v>
      </c>
      <c r="AF2" t="s">
        <v>17</v>
      </c>
      <c r="AG2">
        <v>2.3114999999999997</v>
      </c>
      <c r="AH2">
        <v>2</v>
      </c>
      <c r="AI2">
        <v>12715355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ROW(Source!A24)</f>
        <v>24</v>
      </c>
      <c r="B3">
        <v>12715356</v>
      </c>
      <c r="C3">
        <v>12715353</v>
      </c>
      <c r="D3">
        <v>7231491</v>
      </c>
      <c r="E3">
        <v>1</v>
      </c>
      <c r="F3">
        <v>1</v>
      </c>
      <c r="G3">
        <v>7157832</v>
      </c>
      <c r="H3">
        <v>2</v>
      </c>
      <c r="I3" t="s">
        <v>75</v>
      </c>
      <c r="J3" t="s">
        <v>76</v>
      </c>
      <c r="K3" t="s">
        <v>77</v>
      </c>
      <c r="L3">
        <v>1368</v>
      </c>
      <c r="N3">
        <v>1011</v>
      </c>
      <c r="O3" t="s">
        <v>74</v>
      </c>
      <c r="P3" t="s">
        <v>74</v>
      </c>
      <c r="Q3">
        <v>1</v>
      </c>
      <c r="X3">
        <v>9.61</v>
      </c>
      <c r="Y3">
        <v>0</v>
      </c>
      <c r="Z3">
        <v>0.64</v>
      </c>
      <c r="AA3">
        <v>0.04</v>
      </c>
      <c r="AB3">
        <v>0</v>
      </c>
      <c r="AC3">
        <v>0</v>
      </c>
      <c r="AD3">
        <v>1</v>
      </c>
      <c r="AE3">
        <v>0</v>
      </c>
      <c r="AF3" t="s">
        <v>17</v>
      </c>
      <c r="AG3">
        <v>11.051499999999999</v>
      </c>
      <c r="AH3">
        <v>2</v>
      </c>
      <c r="AI3">
        <v>12715356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ROW(Source!A24)</f>
        <v>24</v>
      </c>
      <c r="B4">
        <v>12715357</v>
      </c>
      <c r="C4">
        <v>12715353</v>
      </c>
      <c r="D4">
        <v>7231445</v>
      </c>
      <c r="E4">
        <v>1</v>
      </c>
      <c r="F4">
        <v>1</v>
      </c>
      <c r="G4">
        <v>7157832</v>
      </c>
      <c r="H4">
        <v>2</v>
      </c>
      <c r="I4" t="s">
        <v>78</v>
      </c>
      <c r="J4" t="s">
        <v>79</v>
      </c>
      <c r="K4" t="s">
        <v>80</v>
      </c>
      <c r="L4">
        <v>1368</v>
      </c>
      <c r="N4">
        <v>1011</v>
      </c>
      <c r="O4" t="s">
        <v>74</v>
      </c>
      <c r="P4" t="s">
        <v>74</v>
      </c>
      <c r="Q4">
        <v>1</v>
      </c>
      <c r="X4">
        <v>22.12</v>
      </c>
      <c r="Y4">
        <v>0</v>
      </c>
      <c r="Z4">
        <v>2.36</v>
      </c>
      <c r="AA4">
        <v>0.1</v>
      </c>
      <c r="AB4">
        <v>0</v>
      </c>
      <c r="AC4">
        <v>0</v>
      </c>
      <c r="AD4">
        <v>1</v>
      </c>
      <c r="AE4">
        <v>0</v>
      </c>
      <c r="AF4" t="s">
        <v>17</v>
      </c>
      <c r="AG4">
        <v>25.438</v>
      </c>
      <c r="AH4">
        <v>2</v>
      </c>
      <c r="AI4">
        <v>12715357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ROW(Source!A24)</f>
        <v>24</v>
      </c>
      <c r="B5">
        <v>12715358</v>
      </c>
      <c r="C5">
        <v>12715353</v>
      </c>
      <c r="D5">
        <v>7231507</v>
      </c>
      <c r="E5">
        <v>1</v>
      </c>
      <c r="F5">
        <v>1</v>
      </c>
      <c r="G5">
        <v>7157832</v>
      </c>
      <c r="H5">
        <v>2</v>
      </c>
      <c r="I5" t="s">
        <v>81</v>
      </c>
      <c r="J5" t="s">
        <v>82</v>
      </c>
      <c r="K5" t="s">
        <v>83</v>
      </c>
      <c r="L5">
        <v>1368</v>
      </c>
      <c r="N5">
        <v>1011</v>
      </c>
      <c r="O5" t="s">
        <v>74</v>
      </c>
      <c r="P5" t="s">
        <v>74</v>
      </c>
      <c r="Q5">
        <v>1</v>
      </c>
      <c r="X5">
        <v>3.5</v>
      </c>
      <c r="Y5">
        <v>0</v>
      </c>
      <c r="Z5">
        <v>31.85</v>
      </c>
      <c r="AA5">
        <v>14.89</v>
      </c>
      <c r="AB5">
        <v>0</v>
      </c>
      <c r="AC5">
        <v>0</v>
      </c>
      <c r="AD5">
        <v>1</v>
      </c>
      <c r="AE5">
        <v>0</v>
      </c>
      <c r="AF5" t="s">
        <v>17</v>
      </c>
      <c r="AG5">
        <v>4.0249999999999995</v>
      </c>
      <c r="AH5">
        <v>2</v>
      </c>
      <c r="AI5">
        <v>12715358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ROW(Source!A24)</f>
        <v>24</v>
      </c>
      <c r="B6">
        <v>12715359</v>
      </c>
      <c r="C6">
        <v>12715353</v>
      </c>
      <c r="D6">
        <v>7231510</v>
      </c>
      <c r="E6">
        <v>1</v>
      </c>
      <c r="F6">
        <v>1</v>
      </c>
      <c r="G6">
        <v>7157832</v>
      </c>
      <c r="H6">
        <v>2</v>
      </c>
      <c r="I6" t="s">
        <v>84</v>
      </c>
      <c r="J6" t="s">
        <v>85</v>
      </c>
      <c r="K6" t="s">
        <v>86</v>
      </c>
      <c r="L6">
        <v>1368</v>
      </c>
      <c r="N6">
        <v>1011</v>
      </c>
      <c r="O6" t="s">
        <v>74</v>
      </c>
      <c r="P6" t="s">
        <v>74</v>
      </c>
      <c r="Q6">
        <v>1</v>
      </c>
      <c r="X6">
        <v>12.81</v>
      </c>
      <c r="Y6">
        <v>0</v>
      </c>
      <c r="Z6">
        <v>2.36</v>
      </c>
      <c r="AA6">
        <v>0.04</v>
      </c>
      <c r="AB6">
        <v>0</v>
      </c>
      <c r="AC6">
        <v>0</v>
      </c>
      <c r="AD6">
        <v>1</v>
      </c>
      <c r="AE6">
        <v>0</v>
      </c>
      <c r="AF6" t="s">
        <v>17</v>
      </c>
      <c r="AG6">
        <v>14.731499999999999</v>
      </c>
      <c r="AH6">
        <v>2</v>
      </c>
      <c r="AI6">
        <v>12715359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ROW(Source!A24)</f>
        <v>24</v>
      </c>
      <c r="B7">
        <v>12715360</v>
      </c>
      <c r="C7">
        <v>12715353</v>
      </c>
      <c r="D7">
        <v>7231511</v>
      </c>
      <c r="E7">
        <v>1</v>
      </c>
      <c r="F7">
        <v>1</v>
      </c>
      <c r="G7">
        <v>7157832</v>
      </c>
      <c r="H7">
        <v>2</v>
      </c>
      <c r="I7" t="s">
        <v>87</v>
      </c>
      <c r="J7" t="s">
        <v>88</v>
      </c>
      <c r="K7" t="s">
        <v>89</v>
      </c>
      <c r="L7">
        <v>1368</v>
      </c>
      <c r="N7">
        <v>1011</v>
      </c>
      <c r="O7" t="s">
        <v>74</v>
      </c>
      <c r="P7" t="s">
        <v>74</v>
      </c>
      <c r="Q7">
        <v>1</v>
      </c>
      <c r="X7">
        <v>0.45</v>
      </c>
      <c r="Y7">
        <v>0</v>
      </c>
      <c r="Z7">
        <v>3.53</v>
      </c>
      <c r="AA7">
        <v>0.04</v>
      </c>
      <c r="AB7">
        <v>0</v>
      </c>
      <c r="AC7">
        <v>0</v>
      </c>
      <c r="AD7">
        <v>1</v>
      </c>
      <c r="AE7">
        <v>0</v>
      </c>
      <c r="AF7" t="s">
        <v>17</v>
      </c>
      <c r="AG7">
        <v>0.5175</v>
      </c>
      <c r="AH7">
        <v>2</v>
      </c>
      <c r="AI7">
        <v>12715360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ROW(Source!A24)</f>
        <v>24</v>
      </c>
      <c r="B8">
        <v>12715361</v>
      </c>
      <c r="C8">
        <v>12715353</v>
      </c>
      <c r="D8">
        <v>7233773</v>
      </c>
      <c r="E8">
        <v>1</v>
      </c>
      <c r="F8">
        <v>1</v>
      </c>
      <c r="G8">
        <v>7157832</v>
      </c>
      <c r="H8">
        <v>3</v>
      </c>
      <c r="I8" t="s">
        <v>90</v>
      </c>
      <c r="J8" t="s">
        <v>91</v>
      </c>
      <c r="K8" t="s">
        <v>92</v>
      </c>
      <c r="L8">
        <v>1048</v>
      </c>
      <c r="N8">
        <v>1013</v>
      </c>
      <c r="O8" t="s">
        <v>93</v>
      </c>
      <c r="P8" t="s">
        <v>93</v>
      </c>
      <c r="Q8">
        <v>1</v>
      </c>
      <c r="X8">
        <v>2.62</v>
      </c>
      <c r="Y8">
        <v>99.47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G8">
        <v>2.62</v>
      </c>
      <c r="AH8">
        <v>2</v>
      </c>
      <c r="AI8">
        <v>12715361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ROW(Source!A24)</f>
        <v>24</v>
      </c>
      <c r="B9">
        <v>12715362</v>
      </c>
      <c r="C9">
        <v>12715353</v>
      </c>
      <c r="D9">
        <v>9283736</v>
      </c>
      <c r="E9">
        <v>1</v>
      </c>
      <c r="F9">
        <v>1</v>
      </c>
      <c r="G9">
        <v>7157832</v>
      </c>
      <c r="H9">
        <v>3</v>
      </c>
      <c r="I9" t="s">
        <v>94</v>
      </c>
      <c r="J9" t="s">
        <v>95</v>
      </c>
      <c r="K9" t="s">
        <v>96</v>
      </c>
      <c r="L9">
        <v>1355</v>
      </c>
      <c r="N9">
        <v>1010</v>
      </c>
      <c r="O9" t="s">
        <v>97</v>
      </c>
      <c r="P9" t="s">
        <v>97</v>
      </c>
      <c r="Q9">
        <v>100</v>
      </c>
      <c r="X9">
        <v>23.83</v>
      </c>
      <c r="Y9">
        <v>99.28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G9">
        <v>23.83</v>
      </c>
      <c r="AH9">
        <v>2</v>
      </c>
      <c r="AI9">
        <v>12715362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ROW(Source!A24)</f>
        <v>24</v>
      </c>
      <c r="B10">
        <v>12715363</v>
      </c>
      <c r="C10">
        <v>12715353</v>
      </c>
      <c r="D10">
        <v>9283738</v>
      </c>
      <c r="E10">
        <v>1</v>
      </c>
      <c r="F10">
        <v>1</v>
      </c>
      <c r="G10">
        <v>7157832</v>
      </c>
      <c r="H10">
        <v>3</v>
      </c>
      <c r="I10" t="s">
        <v>98</v>
      </c>
      <c r="J10" t="s">
        <v>99</v>
      </c>
      <c r="K10" t="s">
        <v>100</v>
      </c>
      <c r="L10">
        <v>1355</v>
      </c>
      <c r="N10">
        <v>1010</v>
      </c>
      <c r="O10" t="s">
        <v>97</v>
      </c>
      <c r="P10" t="s">
        <v>97</v>
      </c>
      <c r="Q10">
        <v>100</v>
      </c>
      <c r="X10">
        <v>2.71</v>
      </c>
      <c r="Y10">
        <v>1144.16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G10">
        <v>2.71</v>
      </c>
      <c r="AH10">
        <v>2</v>
      </c>
      <c r="AI10">
        <v>12715363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ROW(Source!A24)</f>
        <v>24</v>
      </c>
      <c r="B11">
        <v>12715364</v>
      </c>
      <c r="C11">
        <v>12715353</v>
      </c>
      <c r="D11">
        <v>9283740</v>
      </c>
      <c r="E11">
        <v>1</v>
      </c>
      <c r="F11">
        <v>1</v>
      </c>
      <c r="G11">
        <v>7157832</v>
      </c>
      <c r="H11">
        <v>3</v>
      </c>
      <c r="I11" t="s">
        <v>101</v>
      </c>
      <c r="J11" t="s">
        <v>102</v>
      </c>
      <c r="K11" t="s">
        <v>103</v>
      </c>
      <c r="L11">
        <v>1355</v>
      </c>
      <c r="N11">
        <v>1010</v>
      </c>
      <c r="O11" t="s">
        <v>97</v>
      </c>
      <c r="P11" t="s">
        <v>97</v>
      </c>
      <c r="Q11">
        <v>100</v>
      </c>
      <c r="X11">
        <v>0.83</v>
      </c>
      <c r="Y11">
        <v>703.98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G11">
        <v>0.83</v>
      </c>
      <c r="AH11">
        <v>2</v>
      </c>
      <c r="AI11">
        <v>12715364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ROW(Source!A24)</f>
        <v>24</v>
      </c>
      <c r="B12">
        <v>12715365</v>
      </c>
      <c r="C12">
        <v>12715353</v>
      </c>
      <c r="D12">
        <v>9283741</v>
      </c>
      <c r="E12">
        <v>1</v>
      </c>
      <c r="F12">
        <v>1</v>
      </c>
      <c r="G12">
        <v>7157832</v>
      </c>
      <c r="H12">
        <v>3</v>
      </c>
      <c r="I12" t="s">
        <v>104</v>
      </c>
      <c r="J12" t="s">
        <v>105</v>
      </c>
      <c r="K12" t="s">
        <v>106</v>
      </c>
      <c r="L12">
        <v>1355</v>
      </c>
      <c r="N12">
        <v>1010</v>
      </c>
      <c r="O12" t="s">
        <v>97</v>
      </c>
      <c r="P12" t="s">
        <v>97</v>
      </c>
      <c r="Q12">
        <v>100</v>
      </c>
      <c r="X12">
        <v>0.79</v>
      </c>
      <c r="Y12">
        <v>704.17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G12">
        <v>0.79</v>
      </c>
      <c r="AH12">
        <v>2</v>
      </c>
      <c r="AI12">
        <v>12715365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ROW(Source!A24)</f>
        <v>24</v>
      </c>
      <c r="B13">
        <v>12715366</v>
      </c>
      <c r="C13">
        <v>12715353</v>
      </c>
      <c r="D13">
        <v>9283742</v>
      </c>
      <c r="E13">
        <v>1</v>
      </c>
      <c r="F13">
        <v>1</v>
      </c>
      <c r="G13">
        <v>7157832</v>
      </c>
      <c r="H13">
        <v>3</v>
      </c>
      <c r="I13" t="s">
        <v>107</v>
      </c>
      <c r="J13" t="s">
        <v>108</v>
      </c>
      <c r="K13" t="s">
        <v>109</v>
      </c>
      <c r="L13">
        <v>1355</v>
      </c>
      <c r="N13">
        <v>1010</v>
      </c>
      <c r="O13" t="s">
        <v>97</v>
      </c>
      <c r="P13" t="s">
        <v>97</v>
      </c>
      <c r="Q13">
        <v>100</v>
      </c>
      <c r="X13">
        <v>2.62</v>
      </c>
      <c r="Y13">
        <v>381.55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G13">
        <v>2.62</v>
      </c>
      <c r="AH13">
        <v>2</v>
      </c>
      <c r="AI13">
        <v>12715366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ROW(Source!A24)</f>
        <v>24</v>
      </c>
      <c r="B14">
        <v>12715367</v>
      </c>
      <c r="C14">
        <v>12715353</v>
      </c>
      <c r="D14">
        <v>9283743</v>
      </c>
      <c r="E14">
        <v>1</v>
      </c>
      <c r="F14">
        <v>1</v>
      </c>
      <c r="G14">
        <v>7157832</v>
      </c>
      <c r="H14">
        <v>3</v>
      </c>
      <c r="I14" t="s">
        <v>110</v>
      </c>
      <c r="J14" t="s">
        <v>111</v>
      </c>
      <c r="K14" t="s">
        <v>112</v>
      </c>
      <c r="L14">
        <v>1355</v>
      </c>
      <c r="N14">
        <v>1010</v>
      </c>
      <c r="O14" t="s">
        <v>97</v>
      </c>
      <c r="P14" t="s">
        <v>97</v>
      </c>
      <c r="Q14">
        <v>100</v>
      </c>
      <c r="X14">
        <v>0.42</v>
      </c>
      <c r="Y14">
        <v>382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G14">
        <v>0.42</v>
      </c>
      <c r="AH14">
        <v>2</v>
      </c>
      <c r="AI14">
        <v>12715367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ROW(Source!A24)</f>
        <v>24</v>
      </c>
      <c r="B15">
        <v>12715368</v>
      </c>
      <c r="C15">
        <v>12715353</v>
      </c>
      <c r="D15">
        <v>9283745</v>
      </c>
      <c r="E15">
        <v>1</v>
      </c>
      <c r="F15">
        <v>1</v>
      </c>
      <c r="G15">
        <v>7157832</v>
      </c>
      <c r="H15">
        <v>3</v>
      </c>
      <c r="I15" t="s">
        <v>113</v>
      </c>
      <c r="J15" t="s">
        <v>114</v>
      </c>
      <c r="K15" t="s">
        <v>115</v>
      </c>
      <c r="L15">
        <v>1355</v>
      </c>
      <c r="N15">
        <v>1010</v>
      </c>
      <c r="O15" t="s">
        <v>97</v>
      </c>
      <c r="P15" t="s">
        <v>97</v>
      </c>
      <c r="Q15">
        <v>100</v>
      </c>
      <c r="X15">
        <v>2.62</v>
      </c>
      <c r="Y15">
        <v>117.3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G15">
        <v>2.62</v>
      </c>
      <c r="AH15">
        <v>2</v>
      </c>
      <c r="AI15">
        <v>12715368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ROW(Source!A24)</f>
        <v>24</v>
      </c>
      <c r="B16">
        <v>12715369</v>
      </c>
      <c r="C16">
        <v>12715353</v>
      </c>
      <c r="D16">
        <v>9283753</v>
      </c>
      <c r="E16">
        <v>1</v>
      </c>
      <c r="F16">
        <v>1</v>
      </c>
      <c r="G16">
        <v>7157832</v>
      </c>
      <c r="H16">
        <v>3</v>
      </c>
      <c r="I16" t="s">
        <v>116</v>
      </c>
      <c r="J16" t="s">
        <v>117</v>
      </c>
      <c r="K16" t="s">
        <v>118</v>
      </c>
      <c r="L16">
        <v>1355</v>
      </c>
      <c r="N16">
        <v>1010</v>
      </c>
      <c r="O16" t="s">
        <v>97</v>
      </c>
      <c r="P16" t="s">
        <v>97</v>
      </c>
      <c r="Q16">
        <v>100</v>
      </c>
      <c r="X16">
        <v>2.62</v>
      </c>
      <c r="Y16">
        <v>1096.75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2.62</v>
      </c>
      <c r="AH16">
        <v>2</v>
      </c>
      <c r="AI16">
        <v>12715369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ROW(Source!A24)</f>
        <v>24</v>
      </c>
      <c r="B17">
        <v>12715370</v>
      </c>
      <c r="C17">
        <v>12715353</v>
      </c>
      <c r="D17">
        <v>9284224</v>
      </c>
      <c r="E17">
        <v>1</v>
      </c>
      <c r="F17">
        <v>1</v>
      </c>
      <c r="G17">
        <v>7157832</v>
      </c>
      <c r="H17">
        <v>3</v>
      </c>
      <c r="I17" t="s">
        <v>119</v>
      </c>
      <c r="J17" t="s">
        <v>120</v>
      </c>
      <c r="K17" t="s">
        <v>121</v>
      </c>
      <c r="L17">
        <v>1301</v>
      </c>
      <c r="N17">
        <v>1003</v>
      </c>
      <c r="O17" t="s">
        <v>122</v>
      </c>
      <c r="P17" t="s">
        <v>122</v>
      </c>
      <c r="Q17">
        <v>1</v>
      </c>
      <c r="X17">
        <v>11.97</v>
      </c>
      <c r="Y17">
        <v>85.36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G17">
        <v>11.97</v>
      </c>
      <c r="AH17">
        <v>2</v>
      </c>
      <c r="AI17">
        <v>12715370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ROW(Source!A24)</f>
        <v>24</v>
      </c>
      <c r="B18">
        <v>12715371</v>
      </c>
      <c r="C18">
        <v>12715353</v>
      </c>
      <c r="D18">
        <v>9284227</v>
      </c>
      <c r="E18">
        <v>1</v>
      </c>
      <c r="F18">
        <v>1</v>
      </c>
      <c r="G18">
        <v>7157832</v>
      </c>
      <c r="H18">
        <v>3</v>
      </c>
      <c r="I18" t="s">
        <v>123</v>
      </c>
      <c r="J18" t="s">
        <v>124</v>
      </c>
      <c r="K18" t="s">
        <v>125</v>
      </c>
      <c r="L18">
        <v>1301</v>
      </c>
      <c r="N18">
        <v>1003</v>
      </c>
      <c r="O18" t="s">
        <v>122</v>
      </c>
      <c r="P18" t="s">
        <v>122</v>
      </c>
      <c r="Q18">
        <v>1</v>
      </c>
      <c r="X18">
        <v>195.3</v>
      </c>
      <c r="Y18">
        <v>69.2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195.3</v>
      </c>
      <c r="AH18">
        <v>2</v>
      </c>
      <c r="AI18">
        <v>12715371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ROW(Source!A24)</f>
        <v>24</v>
      </c>
      <c r="B19">
        <v>12715372</v>
      </c>
      <c r="C19">
        <v>12715353</v>
      </c>
      <c r="D19">
        <v>9284228</v>
      </c>
      <c r="E19">
        <v>1</v>
      </c>
      <c r="F19">
        <v>1</v>
      </c>
      <c r="G19">
        <v>7157832</v>
      </c>
      <c r="H19">
        <v>3</v>
      </c>
      <c r="I19" t="s">
        <v>126</v>
      </c>
      <c r="J19" t="s">
        <v>127</v>
      </c>
      <c r="K19" t="s">
        <v>128</v>
      </c>
      <c r="L19">
        <v>1301</v>
      </c>
      <c r="N19">
        <v>1003</v>
      </c>
      <c r="O19" t="s">
        <v>122</v>
      </c>
      <c r="P19" t="s">
        <v>122</v>
      </c>
      <c r="Q19">
        <v>1</v>
      </c>
      <c r="X19">
        <v>16.7</v>
      </c>
      <c r="Y19">
        <v>50.23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G19">
        <v>16.7</v>
      </c>
      <c r="AH19">
        <v>2</v>
      </c>
      <c r="AI19">
        <v>12715372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ROW(Source!A24)</f>
        <v>24</v>
      </c>
      <c r="B20">
        <v>12715373</v>
      </c>
      <c r="C20">
        <v>12715353</v>
      </c>
      <c r="D20">
        <v>7238336</v>
      </c>
      <c r="E20">
        <v>1</v>
      </c>
      <c r="F20">
        <v>1</v>
      </c>
      <c r="G20">
        <v>7157832</v>
      </c>
      <c r="H20">
        <v>3</v>
      </c>
      <c r="I20" t="s">
        <v>129</v>
      </c>
      <c r="J20" t="s">
        <v>130</v>
      </c>
      <c r="K20" t="s">
        <v>131</v>
      </c>
      <c r="L20">
        <v>1354</v>
      </c>
      <c r="N20">
        <v>1010</v>
      </c>
      <c r="O20" t="s">
        <v>132</v>
      </c>
      <c r="P20" t="s">
        <v>132</v>
      </c>
      <c r="Q20">
        <v>1</v>
      </c>
      <c r="X20">
        <v>2.6</v>
      </c>
      <c r="Y20">
        <v>123.04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G20">
        <v>2.6</v>
      </c>
      <c r="AH20">
        <v>2</v>
      </c>
      <c r="AI20">
        <v>12715373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ROW(Source!A24)</f>
        <v>24</v>
      </c>
      <c r="B21">
        <v>12715374</v>
      </c>
      <c r="C21">
        <v>12715353</v>
      </c>
      <c r="D21">
        <v>9265279</v>
      </c>
      <c r="E21">
        <v>7157832</v>
      </c>
      <c r="F21">
        <v>1</v>
      </c>
      <c r="G21">
        <v>7157832</v>
      </c>
      <c r="H21">
        <v>3</v>
      </c>
      <c r="I21" t="s">
        <v>133</v>
      </c>
      <c r="K21" t="s">
        <v>134</v>
      </c>
      <c r="L21">
        <v>1354</v>
      </c>
      <c r="N21">
        <v>1010</v>
      </c>
      <c r="O21" t="s">
        <v>132</v>
      </c>
      <c r="P21" t="s">
        <v>132</v>
      </c>
      <c r="Q21">
        <v>1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G21">
        <v>0</v>
      </c>
      <c r="AH21">
        <v>2</v>
      </c>
      <c r="AI21">
        <v>12715374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ROW(Source!A24)</f>
        <v>24</v>
      </c>
      <c r="B22">
        <v>12715375</v>
      </c>
      <c r="C22">
        <v>12715353</v>
      </c>
      <c r="D22">
        <v>9265291</v>
      </c>
      <c r="E22">
        <v>7157832</v>
      </c>
      <c r="F22">
        <v>1</v>
      </c>
      <c r="G22">
        <v>7157832</v>
      </c>
      <c r="H22">
        <v>3</v>
      </c>
      <c r="I22" t="s">
        <v>135</v>
      </c>
      <c r="K22" t="s">
        <v>136</v>
      </c>
      <c r="L22">
        <v>1354</v>
      </c>
      <c r="N22">
        <v>1010</v>
      </c>
      <c r="O22" t="s">
        <v>132</v>
      </c>
      <c r="P22" t="s">
        <v>132</v>
      </c>
      <c r="Q22">
        <v>1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G22">
        <v>0</v>
      </c>
      <c r="AH22">
        <v>2</v>
      </c>
      <c r="AI22">
        <v>12715375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ROW(Source!A24)</f>
        <v>24</v>
      </c>
      <c r="B23">
        <v>12715376</v>
      </c>
      <c r="C23">
        <v>12715353</v>
      </c>
      <c r="D23">
        <v>9269384</v>
      </c>
      <c r="E23">
        <v>7157832</v>
      </c>
      <c r="F23">
        <v>1</v>
      </c>
      <c r="G23">
        <v>7157832</v>
      </c>
      <c r="H23">
        <v>3</v>
      </c>
      <c r="I23" t="s">
        <v>137</v>
      </c>
      <c r="K23" t="s">
        <v>138</v>
      </c>
      <c r="L23">
        <v>1327</v>
      </c>
      <c r="N23">
        <v>1005</v>
      </c>
      <c r="O23" t="s">
        <v>24</v>
      </c>
      <c r="P23" t="s">
        <v>24</v>
      </c>
      <c r="Q23">
        <v>1</v>
      </c>
      <c r="X23">
        <v>106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G23">
        <v>106</v>
      </c>
      <c r="AH23">
        <v>2</v>
      </c>
      <c r="AI23">
        <v>12715376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ROW(Source!A26)</f>
        <v>26</v>
      </c>
      <c r="B24">
        <v>12715395</v>
      </c>
      <c r="C24">
        <v>12715394</v>
      </c>
      <c r="D24">
        <v>7157835</v>
      </c>
      <c r="E24">
        <v>7157832</v>
      </c>
      <c r="F24">
        <v>1</v>
      </c>
      <c r="G24">
        <v>7157832</v>
      </c>
      <c r="H24">
        <v>1</v>
      </c>
      <c r="I24" t="s">
        <v>68</v>
      </c>
      <c r="K24" t="s">
        <v>69</v>
      </c>
      <c r="L24">
        <v>1191</v>
      </c>
      <c r="N24">
        <v>1013</v>
      </c>
      <c r="O24" t="s">
        <v>70</v>
      </c>
      <c r="P24" t="s">
        <v>70</v>
      </c>
      <c r="Q24">
        <v>1</v>
      </c>
      <c r="X24">
        <v>257.04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1</v>
      </c>
      <c r="AF24" t="s">
        <v>17</v>
      </c>
      <c r="AG24">
        <v>295.596</v>
      </c>
      <c r="AH24">
        <v>2</v>
      </c>
      <c r="AI24">
        <v>12715395</v>
      </c>
      <c r="AJ24">
        <v>25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ROW(Source!A26)</f>
        <v>26</v>
      </c>
      <c r="B25">
        <v>12715396</v>
      </c>
      <c r="C25">
        <v>12715394</v>
      </c>
      <c r="D25">
        <v>7231465</v>
      </c>
      <c r="E25">
        <v>1</v>
      </c>
      <c r="F25">
        <v>1</v>
      </c>
      <c r="G25">
        <v>7157832</v>
      </c>
      <c r="H25">
        <v>2</v>
      </c>
      <c r="I25" t="s">
        <v>139</v>
      </c>
      <c r="J25" t="s">
        <v>140</v>
      </c>
      <c r="K25" t="s">
        <v>141</v>
      </c>
      <c r="L25">
        <v>1368</v>
      </c>
      <c r="N25">
        <v>1011</v>
      </c>
      <c r="O25" t="s">
        <v>74</v>
      </c>
      <c r="P25" t="s">
        <v>74</v>
      </c>
      <c r="Q25">
        <v>1</v>
      </c>
      <c r="X25">
        <v>22.4</v>
      </c>
      <c r="Y25">
        <v>0</v>
      </c>
      <c r="Z25">
        <v>0.81</v>
      </c>
      <c r="AA25">
        <v>0.03</v>
      </c>
      <c r="AB25">
        <v>0</v>
      </c>
      <c r="AC25">
        <v>0</v>
      </c>
      <c r="AD25">
        <v>1</v>
      </c>
      <c r="AE25">
        <v>0</v>
      </c>
      <c r="AF25" t="s">
        <v>17</v>
      </c>
      <c r="AG25">
        <v>25.759999999999998</v>
      </c>
      <c r="AH25">
        <v>2</v>
      </c>
      <c r="AI25">
        <v>12715396</v>
      </c>
      <c r="AJ25">
        <v>26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ROW(Source!A26)</f>
        <v>26</v>
      </c>
      <c r="B26">
        <v>12715397</v>
      </c>
      <c r="C26">
        <v>12715394</v>
      </c>
      <c r="D26">
        <v>7231491</v>
      </c>
      <c r="E26">
        <v>1</v>
      </c>
      <c r="F26">
        <v>1</v>
      </c>
      <c r="G26">
        <v>7157832</v>
      </c>
      <c r="H26">
        <v>2</v>
      </c>
      <c r="I26" t="s">
        <v>75</v>
      </c>
      <c r="J26" t="s">
        <v>76</v>
      </c>
      <c r="K26" t="s">
        <v>77</v>
      </c>
      <c r="L26">
        <v>1368</v>
      </c>
      <c r="N26">
        <v>1011</v>
      </c>
      <c r="O26" t="s">
        <v>74</v>
      </c>
      <c r="P26" t="s">
        <v>74</v>
      </c>
      <c r="Q26">
        <v>1</v>
      </c>
      <c r="X26">
        <v>16.7</v>
      </c>
      <c r="Y26">
        <v>0</v>
      </c>
      <c r="Z26">
        <v>0.64</v>
      </c>
      <c r="AA26">
        <v>0.04</v>
      </c>
      <c r="AB26">
        <v>0</v>
      </c>
      <c r="AC26">
        <v>0</v>
      </c>
      <c r="AD26">
        <v>1</v>
      </c>
      <c r="AE26">
        <v>0</v>
      </c>
      <c r="AF26" t="s">
        <v>17</v>
      </c>
      <c r="AG26">
        <v>19.205</v>
      </c>
      <c r="AH26">
        <v>2</v>
      </c>
      <c r="AI26">
        <v>12715397</v>
      </c>
      <c r="AJ26">
        <v>27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ROW(Source!A26)</f>
        <v>26</v>
      </c>
      <c r="B27">
        <v>12715398</v>
      </c>
      <c r="C27">
        <v>12715394</v>
      </c>
      <c r="D27">
        <v>7231445</v>
      </c>
      <c r="E27">
        <v>1</v>
      </c>
      <c r="F27">
        <v>1</v>
      </c>
      <c r="G27">
        <v>7157832</v>
      </c>
      <c r="H27">
        <v>2</v>
      </c>
      <c r="I27" t="s">
        <v>78</v>
      </c>
      <c r="J27" t="s">
        <v>79</v>
      </c>
      <c r="K27" t="s">
        <v>80</v>
      </c>
      <c r="L27">
        <v>1368</v>
      </c>
      <c r="N27">
        <v>1011</v>
      </c>
      <c r="O27" t="s">
        <v>74</v>
      </c>
      <c r="P27" t="s">
        <v>74</v>
      </c>
      <c r="Q27">
        <v>1</v>
      </c>
      <c r="X27">
        <v>33.3</v>
      </c>
      <c r="Y27">
        <v>0</v>
      </c>
      <c r="Z27">
        <v>2.36</v>
      </c>
      <c r="AA27">
        <v>0.1</v>
      </c>
      <c r="AB27">
        <v>0</v>
      </c>
      <c r="AC27">
        <v>0</v>
      </c>
      <c r="AD27">
        <v>1</v>
      </c>
      <c r="AE27">
        <v>0</v>
      </c>
      <c r="AF27" t="s">
        <v>17</v>
      </c>
      <c r="AG27">
        <v>38.294999999999995</v>
      </c>
      <c r="AH27">
        <v>2</v>
      </c>
      <c r="AI27">
        <v>12715398</v>
      </c>
      <c r="AJ27">
        <v>28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ROW(Source!A26)</f>
        <v>26</v>
      </c>
      <c r="B28">
        <v>12715407</v>
      </c>
      <c r="C28">
        <v>12715394</v>
      </c>
      <c r="D28">
        <v>7182707</v>
      </c>
      <c r="E28">
        <v>7157832</v>
      </c>
      <c r="F28">
        <v>1</v>
      </c>
      <c r="G28">
        <v>7157832</v>
      </c>
      <c r="H28">
        <v>3</v>
      </c>
      <c r="I28" t="s">
        <v>142</v>
      </c>
      <c r="K28" t="s">
        <v>143</v>
      </c>
      <c r="L28">
        <v>1344</v>
      </c>
      <c r="N28">
        <v>1008</v>
      </c>
      <c r="O28" t="s">
        <v>144</v>
      </c>
      <c r="P28" t="s">
        <v>144</v>
      </c>
      <c r="Q28">
        <v>1</v>
      </c>
      <c r="X28">
        <v>265</v>
      </c>
      <c r="Y28">
        <v>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G28">
        <v>265</v>
      </c>
      <c r="AH28">
        <v>2</v>
      </c>
      <c r="AI28">
        <v>12715407</v>
      </c>
      <c r="AJ28">
        <v>29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ROW(Source!A26)</f>
        <v>26</v>
      </c>
      <c r="B29">
        <v>12715399</v>
      </c>
      <c r="C29">
        <v>12715394</v>
      </c>
      <c r="D29">
        <v>7233774</v>
      </c>
      <c r="E29">
        <v>1</v>
      </c>
      <c r="F29">
        <v>1</v>
      </c>
      <c r="G29">
        <v>7157832</v>
      </c>
      <c r="H29">
        <v>3</v>
      </c>
      <c r="I29" t="s">
        <v>145</v>
      </c>
      <c r="J29" t="s">
        <v>146</v>
      </c>
      <c r="K29" t="s">
        <v>147</v>
      </c>
      <c r="L29">
        <v>1355</v>
      </c>
      <c r="N29">
        <v>1010</v>
      </c>
      <c r="O29" t="s">
        <v>97</v>
      </c>
      <c r="P29" t="s">
        <v>97</v>
      </c>
      <c r="Q29">
        <v>100</v>
      </c>
      <c r="X29">
        <v>12.15</v>
      </c>
      <c r="Y29">
        <v>64.26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12.15</v>
      </c>
      <c r="AH29">
        <v>2</v>
      </c>
      <c r="AI29">
        <v>12715399</v>
      </c>
      <c r="AJ29">
        <v>30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ROW(Source!A26)</f>
        <v>26</v>
      </c>
      <c r="B30">
        <v>12715400</v>
      </c>
      <c r="C30">
        <v>12715394</v>
      </c>
      <c r="D30">
        <v>7233775</v>
      </c>
      <c r="E30">
        <v>1</v>
      </c>
      <c r="F30">
        <v>1</v>
      </c>
      <c r="G30">
        <v>7157832</v>
      </c>
      <c r="H30">
        <v>3</v>
      </c>
      <c r="I30" t="s">
        <v>148</v>
      </c>
      <c r="J30" t="s">
        <v>149</v>
      </c>
      <c r="K30" t="s">
        <v>150</v>
      </c>
      <c r="L30">
        <v>1355</v>
      </c>
      <c r="N30">
        <v>1010</v>
      </c>
      <c r="O30" t="s">
        <v>97</v>
      </c>
      <c r="P30" t="s">
        <v>97</v>
      </c>
      <c r="Q30">
        <v>100</v>
      </c>
      <c r="X30">
        <v>1.02</v>
      </c>
      <c r="Y30">
        <v>89.96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1.02</v>
      </c>
      <c r="AH30">
        <v>2</v>
      </c>
      <c r="AI30">
        <v>12715400</v>
      </c>
      <c r="AJ30">
        <v>31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ROW(Source!A26)</f>
        <v>26</v>
      </c>
      <c r="B31">
        <v>12715401</v>
      </c>
      <c r="C31">
        <v>12715394</v>
      </c>
      <c r="D31">
        <v>7233776</v>
      </c>
      <c r="E31">
        <v>1</v>
      </c>
      <c r="F31">
        <v>1</v>
      </c>
      <c r="G31">
        <v>7157832</v>
      </c>
      <c r="H31">
        <v>3</v>
      </c>
      <c r="I31" t="s">
        <v>151</v>
      </c>
      <c r="J31" t="s">
        <v>152</v>
      </c>
      <c r="K31" t="s">
        <v>153</v>
      </c>
      <c r="L31">
        <v>1355</v>
      </c>
      <c r="N31">
        <v>1010</v>
      </c>
      <c r="O31" t="s">
        <v>97</v>
      </c>
      <c r="P31" t="s">
        <v>97</v>
      </c>
      <c r="Q31">
        <v>100</v>
      </c>
      <c r="X31">
        <v>12.15</v>
      </c>
      <c r="Y31">
        <v>247.4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G31">
        <v>12.15</v>
      </c>
      <c r="AH31">
        <v>2</v>
      </c>
      <c r="AI31">
        <v>12715401</v>
      </c>
      <c r="AJ31">
        <v>32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ROW(Source!A26)</f>
        <v>26</v>
      </c>
      <c r="B32">
        <v>12715402</v>
      </c>
      <c r="C32">
        <v>12715394</v>
      </c>
      <c r="D32">
        <v>7238014</v>
      </c>
      <c r="E32">
        <v>1</v>
      </c>
      <c r="F32">
        <v>1</v>
      </c>
      <c r="G32">
        <v>7157832</v>
      </c>
      <c r="H32">
        <v>3</v>
      </c>
      <c r="I32" t="s">
        <v>154</v>
      </c>
      <c r="J32" t="s">
        <v>155</v>
      </c>
      <c r="K32" t="s">
        <v>156</v>
      </c>
      <c r="L32">
        <v>1327</v>
      </c>
      <c r="N32">
        <v>1005</v>
      </c>
      <c r="O32" t="s">
        <v>24</v>
      </c>
      <c r="P32" t="s">
        <v>24</v>
      </c>
      <c r="Q32">
        <v>1</v>
      </c>
      <c r="X32">
        <v>26.7</v>
      </c>
      <c r="Y32">
        <v>59.35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G32">
        <v>26.7</v>
      </c>
      <c r="AH32">
        <v>2</v>
      </c>
      <c r="AI32">
        <v>12715402</v>
      </c>
      <c r="AJ32">
        <v>33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ROW(Source!A26)</f>
        <v>26</v>
      </c>
      <c r="B33">
        <v>12715403</v>
      </c>
      <c r="C33">
        <v>12715394</v>
      </c>
      <c r="D33">
        <v>7238015</v>
      </c>
      <c r="E33">
        <v>1</v>
      </c>
      <c r="F33">
        <v>1</v>
      </c>
      <c r="G33">
        <v>7157832</v>
      </c>
      <c r="H33">
        <v>3</v>
      </c>
      <c r="I33" t="s">
        <v>157</v>
      </c>
      <c r="J33" t="s">
        <v>158</v>
      </c>
      <c r="K33" t="s">
        <v>159</v>
      </c>
      <c r="L33">
        <v>1327</v>
      </c>
      <c r="N33">
        <v>1005</v>
      </c>
      <c r="O33" t="s">
        <v>24</v>
      </c>
      <c r="P33" t="s">
        <v>24</v>
      </c>
      <c r="Q33">
        <v>1</v>
      </c>
      <c r="X33">
        <v>25.4</v>
      </c>
      <c r="Y33">
        <v>59.35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G33">
        <v>25.4</v>
      </c>
      <c r="AH33">
        <v>2</v>
      </c>
      <c r="AI33">
        <v>12715403</v>
      </c>
      <c r="AJ33">
        <v>34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ROW(Source!A26)</f>
        <v>26</v>
      </c>
      <c r="B34">
        <v>12715404</v>
      </c>
      <c r="C34">
        <v>12715394</v>
      </c>
      <c r="D34">
        <v>7238023</v>
      </c>
      <c r="E34">
        <v>1</v>
      </c>
      <c r="F34">
        <v>1</v>
      </c>
      <c r="G34">
        <v>7157832</v>
      </c>
      <c r="H34">
        <v>3</v>
      </c>
      <c r="I34" t="s">
        <v>160</v>
      </c>
      <c r="J34" t="s">
        <v>161</v>
      </c>
      <c r="K34" t="s">
        <v>162</v>
      </c>
      <c r="L34">
        <v>1355</v>
      </c>
      <c r="N34">
        <v>1010</v>
      </c>
      <c r="O34" t="s">
        <v>97</v>
      </c>
      <c r="P34" t="s">
        <v>97</v>
      </c>
      <c r="Q34">
        <v>100</v>
      </c>
      <c r="X34">
        <v>4.5</v>
      </c>
      <c r="Y34">
        <v>228.63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G34">
        <v>4.5</v>
      </c>
      <c r="AH34">
        <v>2</v>
      </c>
      <c r="AI34">
        <v>12715404</v>
      </c>
      <c r="AJ34">
        <v>35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ROW(Source!A26)</f>
        <v>26</v>
      </c>
      <c r="B35">
        <v>12715405</v>
      </c>
      <c r="C35">
        <v>12715394</v>
      </c>
      <c r="D35">
        <v>7238024</v>
      </c>
      <c r="E35">
        <v>1</v>
      </c>
      <c r="F35">
        <v>1</v>
      </c>
      <c r="G35">
        <v>7157832</v>
      </c>
      <c r="H35">
        <v>3</v>
      </c>
      <c r="I35" t="s">
        <v>163</v>
      </c>
      <c r="J35" t="s">
        <v>164</v>
      </c>
      <c r="K35" t="s">
        <v>165</v>
      </c>
      <c r="L35">
        <v>1301</v>
      </c>
      <c r="N35">
        <v>1003</v>
      </c>
      <c r="O35" t="s">
        <v>122</v>
      </c>
      <c r="P35" t="s">
        <v>122</v>
      </c>
      <c r="Q35">
        <v>1</v>
      </c>
      <c r="X35">
        <v>140</v>
      </c>
      <c r="Y35">
        <v>38.9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G35">
        <v>140</v>
      </c>
      <c r="AH35">
        <v>2</v>
      </c>
      <c r="AI35">
        <v>12715405</v>
      </c>
      <c r="AJ35">
        <v>36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ROW(Source!A26)</f>
        <v>26</v>
      </c>
      <c r="B36">
        <v>12715406</v>
      </c>
      <c r="C36">
        <v>12715394</v>
      </c>
      <c r="D36">
        <v>7180025</v>
      </c>
      <c r="E36">
        <v>7157832</v>
      </c>
      <c r="F36">
        <v>1</v>
      </c>
      <c r="G36">
        <v>7157832</v>
      </c>
      <c r="H36">
        <v>3</v>
      </c>
      <c r="I36" t="s">
        <v>166</v>
      </c>
      <c r="K36" t="s">
        <v>167</v>
      </c>
      <c r="L36">
        <v>1327</v>
      </c>
      <c r="N36">
        <v>1005</v>
      </c>
      <c r="O36" t="s">
        <v>24</v>
      </c>
      <c r="P36" t="s">
        <v>24</v>
      </c>
      <c r="Q36">
        <v>1</v>
      </c>
      <c r="X36">
        <v>54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G36">
        <v>54</v>
      </c>
      <c r="AH36">
        <v>2</v>
      </c>
      <c r="AI36">
        <v>12715406</v>
      </c>
      <c r="AJ36">
        <v>37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ROW(Source!A28)</f>
        <v>28</v>
      </c>
      <c r="B37">
        <v>12715435</v>
      </c>
      <c r="C37">
        <v>12715434</v>
      </c>
      <c r="D37">
        <v>7157835</v>
      </c>
      <c r="E37">
        <v>7157832</v>
      </c>
      <c r="F37">
        <v>1</v>
      </c>
      <c r="G37">
        <v>7157832</v>
      </c>
      <c r="H37">
        <v>1</v>
      </c>
      <c r="I37" t="s">
        <v>68</v>
      </c>
      <c r="K37" t="s">
        <v>69</v>
      </c>
      <c r="L37">
        <v>1191</v>
      </c>
      <c r="N37">
        <v>1013</v>
      </c>
      <c r="O37" t="s">
        <v>70</v>
      </c>
      <c r="P37" t="s">
        <v>70</v>
      </c>
      <c r="Q37">
        <v>1</v>
      </c>
      <c r="X37">
        <v>473.71</v>
      </c>
      <c r="Y37">
        <v>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1</v>
      </c>
      <c r="AF37" t="s">
        <v>17</v>
      </c>
      <c r="AG37">
        <v>544.7665</v>
      </c>
      <c r="AH37">
        <v>2</v>
      </c>
      <c r="AI37">
        <v>12715435</v>
      </c>
      <c r="AJ37">
        <v>39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ROW(Source!A28)</f>
        <v>28</v>
      </c>
      <c r="B38">
        <v>12715436</v>
      </c>
      <c r="C38">
        <v>12715434</v>
      </c>
      <c r="D38">
        <v>7231449</v>
      </c>
      <c r="E38">
        <v>1</v>
      </c>
      <c r="F38">
        <v>1</v>
      </c>
      <c r="G38">
        <v>7157832</v>
      </c>
      <c r="H38">
        <v>2</v>
      </c>
      <c r="I38" t="s">
        <v>168</v>
      </c>
      <c r="J38" t="s">
        <v>169</v>
      </c>
      <c r="K38" t="s">
        <v>170</v>
      </c>
      <c r="L38">
        <v>1368</v>
      </c>
      <c r="N38">
        <v>1011</v>
      </c>
      <c r="O38" t="s">
        <v>74</v>
      </c>
      <c r="P38" t="s">
        <v>74</v>
      </c>
      <c r="Q38">
        <v>1</v>
      </c>
      <c r="X38">
        <v>24</v>
      </c>
      <c r="Y38">
        <v>0</v>
      </c>
      <c r="Z38">
        <v>1.59</v>
      </c>
      <c r="AA38">
        <v>0.09</v>
      </c>
      <c r="AB38">
        <v>0</v>
      </c>
      <c r="AC38">
        <v>0</v>
      </c>
      <c r="AD38">
        <v>1</v>
      </c>
      <c r="AE38">
        <v>0</v>
      </c>
      <c r="AF38" t="s">
        <v>17</v>
      </c>
      <c r="AG38">
        <v>27.599999999999998</v>
      </c>
      <c r="AH38">
        <v>2</v>
      </c>
      <c r="AI38">
        <v>12715436</v>
      </c>
      <c r="AJ38">
        <v>40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ROW(Source!A28)</f>
        <v>28</v>
      </c>
      <c r="B39">
        <v>12715437</v>
      </c>
      <c r="C39">
        <v>12715434</v>
      </c>
      <c r="D39">
        <v>7231465</v>
      </c>
      <c r="E39">
        <v>1</v>
      </c>
      <c r="F39">
        <v>1</v>
      </c>
      <c r="G39">
        <v>7157832</v>
      </c>
      <c r="H39">
        <v>2</v>
      </c>
      <c r="I39" t="s">
        <v>139</v>
      </c>
      <c r="J39" t="s">
        <v>140</v>
      </c>
      <c r="K39" t="s">
        <v>141</v>
      </c>
      <c r="L39">
        <v>1368</v>
      </c>
      <c r="N39">
        <v>1011</v>
      </c>
      <c r="O39" t="s">
        <v>74</v>
      </c>
      <c r="P39" t="s">
        <v>74</v>
      </c>
      <c r="Q39">
        <v>1</v>
      </c>
      <c r="X39">
        <v>67.97</v>
      </c>
      <c r="Y39">
        <v>0</v>
      </c>
      <c r="Z39">
        <v>0.81</v>
      </c>
      <c r="AA39">
        <v>0.03</v>
      </c>
      <c r="AB39">
        <v>0</v>
      </c>
      <c r="AC39">
        <v>0</v>
      </c>
      <c r="AD39">
        <v>1</v>
      </c>
      <c r="AE39">
        <v>0</v>
      </c>
      <c r="AF39" t="s">
        <v>17</v>
      </c>
      <c r="AG39">
        <v>78.1655</v>
      </c>
      <c r="AH39">
        <v>2</v>
      </c>
      <c r="AI39">
        <v>12715437</v>
      </c>
      <c r="AJ39">
        <v>41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ROW(Source!A28)</f>
        <v>28</v>
      </c>
      <c r="B40">
        <v>12715438</v>
      </c>
      <c r="C40">
        <v>12715434</v>
      </c>
      <c r="D40">
        <v>7231491</v>
      </c>
      <c r="E40">
        <v>1</v>
      </c>
      <c r="F40">
        <v>1</v>
      </c>
      <c r="G40">
        <v>7157832</v>
      </c>
      <c r="H40">
        <v>2</v>
      </c>
      <c r="I40" t="s">
        <v>75</v>
      </c>
      <c r="J40" t="s">
        <v>76</v>
      </c>
      <c r="K40" t="s">
        <v>77</v>
      </c>
      <c r="L40">
        <v>1368</v>
      </c>
      <c r="N40">
        <v>1011</v>
      </c>
      <c r="O40" t="s">
        <v>74</v>
      </c>
      <c r="P40" t="s">
        <v>74</v>
      </c>
      <c r="Q40">
        <v>1</v>
      </c>
      <c r="X40">
        <v>56.7</v>
      </c>
      <c r="Y40">
        <v>0</v>
      </c>
      <c r="Z40">
        <v>0.64</v>
      </c>
      <c r="AA40">
        <v>0.04</v>
      </c>
      <c r="AB40">
        <v>0</v>
      </c>
      <c r="AC40">
        <v>0</v>
      </c>
      <c r="AD40">
        <v>1</v>
      </c>
      <c r="AE40">
        <v>0</v>
      </c>
      <c r="AF40" t="s">
        <v>17</v>
      </c>
      <c r="AG40">
        <v>65.205</v>
      </c>
      <c r="AH40">
        <v>2</v>
      </c>
      <c r="AI40">
        <v>12715438</v>
      </c>
      <c r="AJ40">
        <v>42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ROW(Source!A28)</f>
        <v>28</v>
      </c>
      <c r="B41">
        <v>12715439</v>
      </c>
      <c r="C41">
        <v>12715434</v>
      </c>
      <c r="D41">
        <v>7231445</v>
      </c>
      <c r="E41">
        <v>1</v>
      </c>
      <c r="F41">
        <v>1</v>
      </c>
      <c r="G41">
        <v>7157832</v>
      </c>
      <c r="H41">
        <v>2</v>
      </c>
      <c r="I41" t="s">
        <v>78</v>
      </c>
      <c r="J41" t="s">
        <v>79</v>
      </c>
      <c r="K41" t="s">
        <v>80</v>
      </c>
      <c r="L41">
        <v>1368</v>
      </c>
      <c r="N41">
        <v>1011</v>
      </c>
      <c r="O41" t="s">
        <v>74</v>
      </c>
      <c r="P41" t="s">
        <v>74</v>
      </c>
      <c r="Q41">
        <v>1</v>
      </c>
      <c r="X41">
        <v>33.3</v>
      </c>
      <c r="Y41">
        <v>0</v>
      </c>
      <c r="Z41">
        <v>2.36</v>
      </c>
      <c r="AA41">
        <v>0.1</v>
      </c>
      <c r="AB41">
        <v>0</v>
      </c>
      <c r="AC41">
        <v>0</v>
      </c>
      <c r="AD41">
        <v>1</v>
      </c>
      <c r="AE41">
        <v>0</v>
      </c>
      <c r="AF41" t="s">
        <v>17</v>
      </c>
      <c r="AG41">
        <v>38.294999999999995</v>
      </c>
      <c r="AH41">
        <v>2</v>
      </c>
      <c r="AI41">
        <v>12715439</v>
      </c>
      <c r="AJ41">
        <v>43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ROW(Source!A28)</f>
        <v>28</v>
      </c>
      <c r="B42">
        <v>12715456</v>
      </c>
      <c r="C42">
        <v>12715434</v>
      </c>
      <c r="D42">
        <v>7182707</v>
      </c>
      <c r="E42">
        <v>7157832</v>
      </c>
      <c r="F42">
        <v>1</v>
      </c>
      <c r="G42">
        <v>7157832</v>
      </c>
      <c r="H42">
        <v>3</v>
      </c>
      <c r="I42" t="s">
        <v>142</v>
      </c>
      <c r="K42" t="s">
        <v>143</v>
      </c>
      <c r="L42">
        <v>1344</v>
      </c>
      <c r="N42">
        <v>1008</v>
      </c>
      <c r="O42" t="s">
        <v>144</v>
      </c>
      <c r="P42" t="s">
        <v>144</v>
      </c>
      <c r="Q42">
        <v>1</v>
      </c>
      <c r="X42">
        <v>701</v>
      </c>
      <c r="Y42">
        <v>1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G42">
        <v>701</v>
      </c>
      <c r="AH42">
        <v>2</v>
      </c>
      <c r="AI42">
        <v>12715456</v>
      </c>
      <c r="AJ42">
        <v>44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ROW(Source!A28)</f>
        <v>28</v>
      </c>
      <c r="B43">
        <v>12715440</v>
      </c>
      <c r="C43">
        <v>12715434</v>
      </c>
      <c r="D43">
        <v>7233771</v>
      </c>
      <c r="E43">
        <v>1</v>
      </c>
      <c r="F43">
        <v>1</v>
      </c>
      <c r="G43">
        <v>7157832</v>
      </c>
      <c r="H43">
        <v>3</v>
      </c>
      <c r="I43" t="s">
        <v>171</v>
      </c>
      <c r="J43" t="s">
        <v>172</v>
      </c>
      <c r="K43" t="s">
        <v>173</v>
      </c>
      <c r="L43">
        <v>1301</v>
      </c>
      <c r="N43">
        <v>1003</v>
      </c>
      <c r="O43" t="s">
        <v>122</v>
      </c>
      <c r="P43" t="s">
        <v>122</v>
      </c>
      <c r="Q43">
        <v>1</v>
      </c>
      <c r="X43">
        <v>139</v>
      </c>
      <c r="Y43">
        <v>10.53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139</v>
      </c>
      <c r="AH43">
        <v>2</v>
      </c>
      <c r="AI43">
        <v>12715440</v>
      </c>
      <c r="AJ43">
        <v>45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ROW(Source!A28)</f>
        <v>28</v>
      </c>
      <c r="B44">
        <v>12715441</v>
      </c>
      <c r="C44">
        <v>12715434</v>
      </c>
      <c r="D44">
        <v>7233772</v>
      </c>
      <c r="E44">
        <v>1</v>
      </c>
      <c r="F44">
        <v>1</v>
      </c>
      <c r="G44">
        <v>7157832</v>
      </c>
      <c r="H44">
        <v>3</v>
      </c>
      <c r="I44" t="s">
        <v>174</v>
      </c>
      <c r="J44" t="s">
        <v>175</v>
      </c>
      <c r="K44" t="s">
        <v>176</v>
      </c>
      <c r="L44">
        <v>1301</v>
      </c>
      <c r="N44">
        <v>1003</v>
      </c>
      <c r="O44" t="s">
        <v>122</v>
      </c>
      <c r="P44" t="s">
        <v>122</v>
      </c>
      <c r="Q44">
        <v>1</v>
      </c>
      <c r="X44">
        <v>101</v>
      </c>
      <c r="Y44">
        <v>11.74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101</v>
      </c>
      <c r="AH44">
        <v>2</v>
      </c>
      <c r="AI44">
        <v>12715441</v>
      </c>
      <c r="AJ44">
        <v>46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ROW(Source!A28)</f>
        <v>28</v>
      </c>
      <c r="B45">
        <v>12715442</v>
      </c>
      <c r="C45">
        <v>12715434</v>
      </c>
      <c r="D45">
        <v>7233773</v>
      </c>
      <c r="E45">
        <v>1</v>
      </c>
      <c r="F45">
        <v>1</v>
      </c>
      <c r="G45">
        <v>7157832</v>
      </c>
      <c r="H45">
        <v>3</v>
      </c>
      <c r="I45" t="s">
        <v>90</v>
      </c>
      <c r="J45" t="s">
        <v>91</v>
      </c>
      <c r="K45" t="s">
        <v>92</v>
      </c>
      <c r="L45">
        <v>1048</v>
      </c>
      <c r="N45">
        <v>1013</v>
      </c>
      <c r="O45" t="s">
        <v>93</v>
      </c>
      <c r="P45" t="s">
        <v>93</v>
      </c>
      <c r="Q45">
        <v>1</v>
      </c>
      <c r="X45">
        <v>3.6</v>
      </c>
      <c r="Y45">
        <v>99.47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G45">
        <v>3.6</v>
      </c>
      <c r="AH45">
        <v>2</v>
      </c>
      <c r="AI45">
        <v>12715442</v>
      </c>
      <c r="AJ45">
        <v>47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ROW(Source!A28)</f>
        <v>28</v>
      </c>
      <c r="B46">
        <v>12715443</v>
      </c>
      <c r="C46">
        <v>12715434</v>
      </c>
      <c r="D46">
        <v>7233774</v>
      </c>
      <c r="E46">
        <v>1</v>
      </c>
      <c r="F46">
        <v>1</v>
      </c>
      <c r="G46">
        <v>7157832</v>
      </c>
      <c r="H46">
        <v>3</v>
      </c>
      <c r="I46" t="s">
        <v>145</v>
      </c>
      <c r="J46" t="s">
        <v>146</v>
      </c>
      <c r="K46" t="s">
        <v>147</v>
      </c>
      <c r="L46">
        <v>1355</v>
      </c>
      <c r="N46">
        <v>1010</v>
      </c>
      <c r="O46" t="s">
        <v>97</v>
      </c>
      <c r="P46" t="s">
        <v>97</v>
      </c>
      <c r="Q46">
        <v>100</v>
      </c>
      <c r="X46">
        <v>9.5</v>
      </c>
      <c r="Y46">
        <v>64.26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G46">
        <v>9.5</v>
      </c>
      <c r="AH46">
        <v>2</v>
      </c>
      <c r="AI46">
        <v>12715443</v>
      </c>
      <c r="AJ46">
        <v>48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ROW(Source!A28)</f>
        <v>28</v>
      </c>
      <c r="B47">
        <v>12715444</v>
      </c>
      <c r="C47">
        <v>12715434</v>
      </c>
      <c r="D47">
        <v>7233775</v>
      </c>
      <c r="E47">
        <v>1</v>
      </c>
      <c r="F47">
        <v>1</v>
      </c>
      <c r="G47">
        <v>7157832</v>
      </c>
      <c r="H47">
        <v>3</v>
      </c>
      <c r="I47" t="s">
        <v>148</v>
      </c>
      <c r="J47" t="s">
        <v>149</v>
      </c>
      <c r="K47" t="s">
        <v>150</v>
      </c>
      <c r="L47">
        <v>1355</v>
      </c>
      <c r="N47">
        <v>1010</v>
      </c>
      <c r="O47" t="s">
        <v>97</v>
      </c>
      <c r="P47" t="s">
        <v>97</v>
      </c>
      <c r="Q47">
        <v>100</v>
      </c>
      <c r="X47">
        <v>3.02</v>
      </c>
      <c r="Y47">
        <v>89.96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G47">
        <v>3.02</v>
      </c>
      <c r="AH47">
        <v>2</v>
      </c>
      <c r="AI47">
        <v>12715444</v>
      </c>
      <c r="AJ47">
        <v>49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ROW(Source!A28)</f>
        <v>28</v>
      </c>
      <c r="B48">
        <v>12715445</v>
      </c>
      <c r="C48">
        <v>12715434</v>
      </c>
      <c r="D48">
        <v>7233776</v>
      </c>
      <c r="E48">
        <v>1</v>
      </c>
      <c r="F48">
        <v>1</v>
      </c>
      <c r="G48">
        <v>7157832</v>
      </c>
      <c r="H48">
        <v>3</v>
      </c>
      <c r="I48" t="s">
        <v>151</v>
      </c>
      <c r="J48" t="s">
        <v>152</v>
      </c>
      <c r="K48" t="s">
        <v>153</v>
      </c>
      <c r="L48">
        <v>1355</v>
      </c>
      <c r="N48">
        <v>1010</v>
      </c>
      <c r="O48" t="s">
        <v>97</v>
      </c>
      <c r="P48" t="s">
        <v>97</v>
      </c>
      <c r="Q48">
        <v>100</v>
      </c>
      <c r="X48">
        <v>9.5</v>
      </c>
      <c r="Y48">
        <v>247.4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G48">
        <v>9.5</v>
      </c>
      <c r="AH48">
        <v>2</v>
      </c>
      <c r="AI48">
        <v>12715445</v>
      </c>
      <c r="AJ48">
        <v>50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ROW(Source!A28)</f>
        <v>28</v>
      </c>
      <c r="B49">
        <v>12715446</v>
      </c>
      <c r="C49">
        <v>12715434</v>
      </c>
      <c r="D49">
        <v>7238016</v>
      </c>
      <c r="E49">
        <v>1</v>
      </c>
      <c r="F49">
        <v>1</v>
      </c>
      <c r="G49">
        <v>7157832</v>
      </c>
      <c r="H49">
        <v>3</v>
      </c>
      <c r="I49" t="s">
        <v>177</v>
      </c>
      <c r="J49" t="s">
        <v>178</v>
      </c>
      <c r="K49" t="s">
        <v>179</v>
      </c>
      <c r="L49">
        <v>1301</v>
      </c>
      <c r="N49">
        <v>1003</v>
      </c>
      <c r="O49" t="s">
        <v>122</v>
      </c>
      <c r="P49" t="s">
        <v>122</v>
      </c>
      <c r="Q49">
        <v>1</v>
      </c>
      <c r="X49">
        <v>46</v>
      </c>
      <c r="Y49">
        <v>47.31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G49">
        <v>46</v>
      </c>
      <c r="AH49">
        <v>2</v>
      </c>
      <c r="AI49">
        <v>12715446</v>
      </c>
      <c r="AJ49">
        <v>51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ROW(Source!A28)</f>
        <v>28</v>
      </c>
      <c r="B50">
        <v>12715447</v>
      </c>
      <c r="C50">
        <v>12715434</v>
      </c>
      <c r="D50">
        <v>7238017</v>
      </c>
      <c r="E50">
        <v>1</v>
      </c>
      <c r="F50">
        <v>1</v>
      </c>
      <c r="G50">
        <v>7157832</v>
      </c>
      <c r="H50">
        <v>3</v>
      </c>
      <c r="I50" t="s">
        <v>180</v>
      </c>
      <c r="J50" t="s">
        <v>181</v>
      </c>
      <c r="K50" t="s">
        <v>182</v>
      </c>
      <c r="L50">
        <v>1301</v>
      </c>
      <c r="N50">
        <v>1003</v>
      </c>
      <c r="O50" t="s">
        <v>122</v>
      </c>
      <c r="P50" t="s">
        <v>122</v>
      </c>
      <c r="Q50">
        <v>1</v>
      </c>
      <c r="X50">
        <v>194</v>
      </c>
      <c r="Y50">
        <v>26.68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G50">
        <v>194</v>
      </c>
      <c r="AH50">
        <v>2</v>
      </c>
      <c r="AI50">
        <v>12715447</v>
      </c>
      <c r="AJ50">
        <v>52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ROW(Source!A28)</f>
        <v>28</v>
      </c>
      <c r="B51">
        <v>12715448</v>
      </c>
      <c r="C51">
        <v>12715434</v>
      </c>
      <c r="D51">
        <v>7238018</v>
      </c>
      <c r="E51">
        <v>1</v>
      </c>
      <c r="F51">
        <v>1</v>
      </c>
      <c r="G51">
        <v>7157832</v>
      </c>
      <c r="H51">
        <v>3</v>
      </c>
      <c r="I51" t="s">
        <v>183</v>
      </c>
      <c r="J51" t="s">
        <v>184</v>
      </c>
      <c r="K51" t="s">
        <v>185</v>
      </c>
      <c r="L51">
        <v>1301</v>
      </c>
      <c r="N51">
        <v>1003</v>
      </c>
      <c r="O51" t="s">
        <v>122</v>
      </c>
      <c r="P51" t="s">
        <v>122</v>
      </c>
      <c r="Q51">
        <v>1</v>
      </c>
      <c r="X51">
        <v>150</v>
      </c>
      <c r="Y51">
        <v>26.68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G51">
        <v>150</v>
      </c>
      <c r="AH51">
        <v>2</v>
      </c>
      <c r="AI51">
        <v>12715448</v>
      </c>
      <c r="AJ51">
        <v>53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ROW(Source!A28)</f>
        <v>28</v>
      </c>
      <c r="B52">
        <v>12715449</v>
      </c>
      <c r="C52">
        <v>12715434</v>
      </c>
      <c r="D52">
        <v>7238020</v>
      </c>
      <c r="E52">
        <v>1</v>
      </c>
      <c r="F52">
        <v>1</v>
      </c>
      <c r="G52">
        <v>7157832</v>
      </c>
      <c r="H52">
        <v>3</v>
      </c>
      <c r="I52" t="s">
        <v>186</v>
      </c>
      <c r="J52" t="s">
        <v>187</v>
      </c>
      <c r="K52" t="s">
        <v>188</v>
      </c>
      <c r="L52">
        <v>1301</v>
      </c>
      <c r="N52">
        <v>1003</v>
      </c>
      <c r="O52" t="s">
        <v>122</v>
      </c>
      <c r="P52" t="s">
        <v>122</v>
      </c>
      <c r="Q52">
        <v>1</v>
      </c>
      <c r="X52">
        <v>55</v>
      </c>
      <c r="Y52">
        <v>45.8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G52">
        <v>55</v>
      </c>
      <c r="AH52">
        <v>2</v>
      </c>
      <c r="AI52">
        <v>12715449</v>
      </c>
      <c r="AJ52">
        <v>54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ROW(Source!A28)</f>
        <v>28</v>
      </c>
      <c r="B53">
        <v>12715450</v>
      </c>
      <c r="C53">
        <v>12715434</v>
      </c>
      <c r="D53">
        <v>7238021</v>
      </c>
      <c r="E53">
        <v>1</v>
      </c>
      <c r="F53">
        <v>1</v>
      </c>
      <c r="G53">
        <v>7157832</v>
      </c>
      <c r="H53">
        <v>3</v>
      </c>
      <c r="I53" t="s">
        <v>189</v>
      </c>
      <c r="J53" t="s">
        <v>190</v>
      </c>
      <c r="K53" t="s">
        <v>191</v>
      </c>
      <c r="L53">
        <v>1301</v>
      </c>
      <c r="N53">
        <v>1003</v>
      </c>
      <c r="O53" t="s">
        <v>122</v>
      </c>
      <c r="P53" t="s">
        <v>122</v>
      </c>
      <c r="Q53">
        <v>1</v>
      </c>
      <c r="X53">
        <v>67</v>
      </c>
      <c r="Y53">
        <v>38.13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G53">
        <v>67</v>
      </c>
      <c r="AH53">
        <v>2</v>
      </c>
      <c r="AI53">
        <v>12715450</v>
      </c>
      <c r="AJ53">
        <v>55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ROW(Source!A28)</f>
        <v>28</v>
      </c>
      <c r="B54">
        <v>12715451</v>
      </c>
      <c r="C54">
        <v>12715434</v>
      </c>
      <c r="D54">
        <v>7238022</v>
      </c>
      <c r="E54">
        <v>1</v>
      </c>
      <c r="F54">
        <v>1</v>
      </c>
      <c r="G54">
        <v>7157832</v>
      </c>
      <c r="H54">
        <v>3</v>
      </c>
      <c r="I54" t="s">
        <v>192</v>
      </c>
      <c r="J54" t="s">
        <v>193</v>
      </c>
      <c r="K54" t="s">
        <v>194</v>
      </c>
      <c r="L54">
        <v>1301</v>
      </c>
      <c r="N54">
        <v>1003</v>
      </c>
      <c r="O54" t="s">
        <v>122</v>
      </c>
      <c r="P54" t="s">
        <v>122</v>
      </c>
      <c r="Q54">
        <v>1</v>
      </c>
      <c r="X54">
        <v>102</v>
      </c>
      <c r="Y54">
        <v>38.13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G54">
        <v>102</v>
      </c>
      <c r="AH54">
        <v>2</v>
      </c>
      <c r="AI54">
        <v>12715451</v>
      </c>
      <c r="AJ54">
        <v>56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ROW(Source!A28)</f>
        <v>28</v>
      </c>
      <c r="B55">
        <v>12715452</v>
      </c>
      <c r="C55">
        <v>12715434</v>
      </c>
      <c r="D55">
        <v>7238390</v>
      </c>
      <c r="E55">
        <v>1</v>
      </c>
      <c r="F55">
        <v>1</v>
      </c>
      <c r="G55">
        <v>7157832</v>
      </c>
      <c r="H55">
        <v>3</v>
      </c>
      <c r="I55" t="s">
        <v>195</v>
      </c>
      <c r="J55" t="s">
        <v>196</v>
      </c>
      <c r="K55" t="s">
        <v>197</v>
      </c>
      <c r="L55">
        <v>1355</v>
      </c>
      <c r="N55">
        <v>1010</v>
      </c>
      <c r="O55" t="s">
        <v>97</v>
      </c>
      <c r="P55" t="s">
        <v>97</v>
      </c>
      <c r="Q55">
        <v>100</v>
      </c>
      <c r="X55">
        <v>3.6</v>
      </c>
      <c r="Y55">
        <v>1663.23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G55">
        <v>3.6</v>
      </c>
      <c r="AH55">
        <v>2</v>
      </c>
      <c r="AI55">
        <v>12715452</v>
      </c>
      <c r="AJ55">
        <v>57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ROW(Source!A28)</f>
        <v>28</v>
      </c>
      <c r="B56">
        <v>12715453</v>
      </c>
      <c r="C56">
        <v>12715434</v>
      </c>
      <c r="D56">
        <v>7238391</v>
      </c>
      <c r="E56">
        <v>1</v>
      </c>
      <c r="F56">
        <v>1</v>
      </c>
      <c r="G56">
        <v>7157832</v>
      </c>
      <c r="H56">
        <v>3</v>
      </c>
      <c r="I56" t="s">
        <v>198</v>
      </c>
      <c r="J56" t="s">
        <v>199</v>
      </c>
      <c r="K56" t="s">
        <v>200</v>
      </c>
      <c r="L56">
        <v>1355</v>
      </c>
      <c r="N56">
        <v>1010</v>
      </c>
      <c r="O56" t="s">
        <v>97</v>
      </c>
      <c r="P56" t="s">
        <v>97</v>
      </c>
      <c r="Q56">
        <v>100</v>
      </c>
      <c r="X56">
        <v>3.6</v>
      </c>
      <c r="Y56">
        <v>1311.27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3.6</v>
      </c>
      <c r="AH56">
        <v>2</v>
      </c>
      <c r="AI56">
        <v>12715453</v>
      </c>
      <c r="AJ56">
        <v>58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ROW(Source!A28)</f>
        <v>28</v>
      </c>
      <c r="B57">
        <v>12715454</v>
      </c>
      <c r="C57">
        <v>12715434</v>
      </c>
      <c r="D57">
        <v>7238392</v>
      </c>
      <c r="E57">
        <v>1</v>
      </c>
      <c r="F57">
        <v>1</v>
      </c>
      <c r="G57">
        <v>7157832</v>
      </c>
      <c r="H57">
        <v>3</v>
      </c>
      <c r="I57" t="s">
        <v>201</v>
      </c>
      <c r="J57" t="s">
        <v>202</v>
      </c>
      <c r="K57" t="s">
        <v>203</v>
      </c>
      <c r="L57">
        <v>1355</v>
      </c>
      <c r="N57">
        <v>1010</v>
      </c>
      <c r="O57" t="s">
        <v>97</v>
      </c>
      <c r="P57" t="s">
        <v>97</v>
      </c>
      <c r="Q57">
        <v>100</v>
      </c>
      <c r="X57">
        <v>11.8</v>
      </c>
      <c r="Y57">
        <v>68.54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G57">
        <v>11.8</v>
      </c>
      <c r="AH57">
        <v>2</v>
      </c>
      <c r="AI57">
        <v>12715454</v>
      </c>
      <c r="AJ57">
        <v>59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ROW(Source!A28)</f>
        <v>28</v>
      </c>
      <c r="B58">
        <v>12715455</v>
      </c>
      <c r="C58">
        <v>12715434</v>
      </c>
      <c r="D58">
        <v>7180025</v>
      </c>
      <c r="E58">
        <v>7157832</v>
      </c>
      <c r="F58">
        <v>1</v>
      </c>
      <c r="G58">
        <v>7157832</v>
      </c>
      <c r="H58">
        <v>3</v>
      </c>
      <c r="I58" t="s">
        <v>166</v>
      </c>
      <c r="K58" t="s">
        <v>167</v>
      </c>
      <c r="L58">
        <v>1327</v>
      </c>
      <c r="N58">
        <v>1005</v>
      </c>
      <c r="O58" t="s">
        <v>24</v>
      </c>
      <c r="P58" t="s">
        <v>24</v>
      </c>
      <c r="Q58">
        <v>1</v>
      </c>
      <c r="X58">
        <v>115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G58">
        <v>115</v>
      </c>
      <c r="AH58">
        <v>2</v>
      </c>
      <c r="AI58">
        <v>12715455</v>
      </c>
      <c r="AJ58">
        <v>60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</cp:lastModifiedBy>
  <dcterms:modified xsi:type="dcterms:W3CDTF">2011-12-04T16:02:42Z</dcterms:modified>
  <cp:category/>
  <cp:version/>
  <cp:contentType/>
  <cp:contentStatus/>
</cp:coreProperties>
</file>